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чий стол\Документы для загрузки на ОС\Книга 2 Часть 2 - Расчет выбросов ЗВ_СМР\Площадка 1 - Комбинат\"/>
    </mc:Choice>
  </mc:AlternateContent>
  <xr:revisionPtr revIDLastSave="0" documentId="13_ncr:1_{91002941-E2BA-44AB-9223-994503F89068}" xr6:coauthVersionLast="47" xr6:coauthVersionMax="47" xr10:uidLastSave="{00000000-0000-0000-0000-000000000000}"/>
  <bookViews>
    <workbookView xWindow="-120" yWindow="-120" windowWidth="29040" windowHeight="15840" tabRatio="596" xr2:uid="{94D28D7C-ABD6-4846-A5D9-38CA4BA571A2}"/>
  </bookViews>
  <sheets>
    <sheet name="титул" sheetId="22" r:id="rId1"/>
    <sheet name="введение" sheetId="18" r:id="rId2"/>
    <sheet name="содержание" sheetId="21" r:id="rId3"/>
    <sheet name="1.1 снятие ТГ бульдозер" sheetId="1" r:id="rId4"/>
    <sheet name="1.2погрузка экскаватором" sheetId="2" r:id="rId5"/>
    <sheet name="1.3земляные работы" sheetId="4" r:id="rId6"/>
    <sheet name="1.4 транспортирование" sheetId="3" r:id="rId7"/>
    <sheet name="1.5пересыпка материалов" sheetId="14" r:id="rId8"/>
    <sheet name="1.6укладка асфальтобетона" sheetId="5" r:id="rId9"/>
    <sheet name="1.7покраска" sheetId="6" r:id="rId10"/>
    <sheet name="1.8 сварка" sheetId="7" r:id="rId11"/>
    <sheet name="1.8.1сварка доп" sheetId="26" r:id="rId12"/>
    <sheet name="1.9сварка полиэтилена" sheetId="8" r:id="rId13"/>
    <sheet name="1.10 ДЭС и буровые установки" sheetId="23" r:id="rId14"/>
    <sheet name="1.11бурение" sheetId="12" r:id="rId15"/>
    <sheet name="1.12.1склад техног грунта" sheetId="11" r:id="rId16"/>
    <sheet name="1.12.2склады щебня и суглинка" sheetId="17" r:id="rId17"/>
    <sheet name="1.13топливозаправщик" sheetId="10" r:id="rId18"/>
    <sheet name="1.14битумные работы" sheetId="13" r:id="rId19"/>
    <sheet name="1.15автотранспорт" sheetId="15" r:id="rId20"/>
    <sheet name="Итого от Комбината" sheetId="20" r:id="rId21"/>
  </sheets>
  <definedNames>
    <definedName name="_xlnm.Print_Titles" localSheetId="3">'1.1 снятие ТГ бульдозер'!$30:$32</definedName>
    <definedName name="_xlnm.Print_Titles" localSheetId="13">'1.10 ДЭС и буровые установки'!$19:$22</definedName>
    <definedName name="_xlnm.Print_Titles" localSheetId="14">'1.11бурение'!$21:$25</definedName>
    <definedName name="_xlnm.Print_Titles" localSheetId="15">'1.12.1склад техног грунта'!$38:$41</definedName>
    <definedName name="_xlnm.Print_Titles" localSheetId="16">'1.12.2склады щебня и суглинка'!$1:$4</definedName>
    <definedName name="_xlnm.Print_Titles" localSheetId="17">'1.13топливозаправщик'!$37:$40</definedName>
    <definedName name="_xlnm.Print_Titles" localSheetId="19">'1.15автотранспорт'!$27:$31</definedName>
    <definedName name="_xlnm.Print_Titles" localSheetId="4">'1.2погрузка экскаватором'!$21:$23</definedName>
    <definedName name="_xlnm.Print_Titles" localSheetId="5">'1.3земляные работы'!$27:$30</definedName>
    <definedName name="_xlnm.Print_Titles" localSheetId="6">'1.4 транспортирование'!$31:$33</definedName>
    <definedName name="_xlnm.Print_Titles" localSheetId="7">'1.5пересыпка материалов'!$28:$31</definedName>
    <definedName name="_xlnm.Print_Titles" localSheetId="8">'1.6укладка асфальтобетона'!$20:$24</definedName>
    <definedName name="_xlnm.Print_Titles" localSheetId="9">'1.7покраска'!$44:$47</definedName>
    <definedName name="_xlnm.Print_Titles" localSheetId="10">'1.8 сварка'!$27:$30</definedName>
    <definedName name="_xlnm.Print_Titles" localSheetId="11">'1.8.1сварка доп'!$1:$4</definedName>
    <definedName name="_xlnm.Print_Titles" localSheetId="12">'1.9сварка полиэтилена'!$20:$24</definedName>
    <definedName name="_xlnm.Print_Titles" localSheetId="20">'Итого от Комбината'!$B:$C,'Итого от Комбината'!$3:$4</definedName>
    <definedName name="_xlnm.Print_Area" localSheetId="3">'1.1 снятие ТГ бульдозер'!$A$1:$P$81</definedName>
    <definedName name="_xlnm.Print_Area" localSheetId="13">'1.10 ДЭС и буровые установки'!$A$1:$N$93</definedName>
    <definedName name="_xlnm.Print_Area" localSheetId="14">'1.11бурение'!$A$1:$K$35</definedName>
    <definedName name="_xlnm.Print_Area" localSheetId="15">'1.12.1склад техног грунта'!$A$1:$Y$66</definedName>
    <definedName name="_xlnm.Print_Area" localSheetId="16">'1.12.2склады щебня и суглинка'!$A$1:$Y$46</definedName>
    <definedName name="_xlnm.Print_Area" localSheetId="17">'1.13топливозаправщик'!$A$1:$O$198</definedName>
    <definedName name="_xlnm.Print_Area" localSheetId="18">'1.14битумные работы'!$A$1:$I$34</definedName>
    <definedName name="_xlnm.Print_Area" localSheetId="19">'1.15автотранспорт'!$A$1:$AF$744</definedName>
    <definedName name="_xlnm.Print_Area" localSheetId="4">'1.2погрузка экскаватором'!$A$1:$P$128</definedName>
    <definedName name="_xlnm.Print_Area" localSheetId="5">'1.3земляные работы'!$A$1:$R$341</definedName>
    <definedName name="_xlnm.Print_Area" localSheetId="6">'1.4 транспортирование'!$A$1:$U$236</definedName>
    <definedName name="_xlnm.Print_Area" localSheetId="7">'1.5пересыпка материалов'!$A$1:$R$141</definedName>
    <definedName name="_xlnm.Print_Area" localSheetId="8">'1.6укладка асфальтобетона'!$A$1:$I$43</definedName>
    <definedName name="_xlnm.Print_Area" localSheetId="9">'1.7покраска'!$A$1:$N$479</definedName>
    <definedName name="_xlnm.Print_Area" localSheetId="10">'1.8 сварка'!$A$1:$K$387</definedName>
    <definedName name="_xlnm.Print_Area" localSheetId="11">'1.8.1сварка доп'!$A$1:$P$121</definedName>
    <definedName name="_xlnm.Print_Area" localSheetId="12">'1.9сварка полиэтилена'!$A$1:$I$111</definedName>
    <definedName name="_xlnm.Print_Area" localSheetId="1">введение!$A$1:$I$149</definedName>
    <definedName name="_xlnm.Print_Area" localSheetId="20">'Итого от Комбината'!$A$1:$M$519</definedName>
    <definedName name="_xlnm.Print_Area" localSheetId="2">содержание!$A$1:$J$47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26" l="1"/>
  <c r="M482" i="20"/>
  <c r="L482" i="20"/>
  <c r="K482" i="20"/>
  <c r="J482" i="20"/>
  <c r="I482" i="20"/>
  <c r="H482" i="20"/>
  <c r="G482" i="20"/>
  <c r="F482" i="20"/>
  <c r="K479" i="20"/>
  <c r="G479" i="20"/>
  <c r="K478" i="20"/>
  <c r="G478" i="20"/>
  <c r="M416" i="20"/>
  <c r="L416" i="20"/>
  <c r="K416" i="20"/>
  <c r="J416" i="20"/>
  <c r="I416" i="20"/>
  <c r="H416" i="20"/>
  <c r="G416" i="20"/>
  <c r="F416" i="20"/>
  <c r="R121" i="26"/>
  <c r="Q121" i="26"/>
  <c r="R92" i="26"/>
  <c r="Q92" i="26"/>
  <c r="R63" i="26"/>
  <c r="Q63" i="26"/>
  <c r="R34" i="26"/>
  <c r="Q34" i="26"/>
  <c r="M33" i="20"/>
  <c r="L33" i="20"/>
  <c r="M32" i="20"/>
  <c r="L32" i="20"/>
  <c r="M31" i="20"/>
  <c r="L31" i="20"/>
  <c r="M30" i="20"/>
  <c r="M426" i="20" s="1"/>
  <c r="M478" i="20" s="1"/>
  <c r="L30" i="20"/>
  <c r="L426" i="20" s="1"/>
  <c r="L478" i="20" s="1"/>
  <c r="M29" i="20"/>
  <c r="M430" i="20" s="1"/>
  <c r="L29" i="20"/>
  <c r="L430" i="20" s="1"/>
  <c r="M28" i="20"/>
  <c r="M427" i="20" s="1"/>
  <c r="M479" i="20" s="1"/>
  <c r="L28" i="20"/>
  <c r="L427" i="20" s="1"/>
  <c r="L479" i="20" s="1"/>
  <c r="M27" i="20"/>
  <c r="L27" i="20"/>
  <c r="M26" i="20"/>
  <c r="L26" i="20"/>
  <c r="K33" i="20"/>
  <c r="J33" i="20"/>
  <c r="K32" i="20"/>
  <c r="J32" i="20"/>
  <c r="K31" i="20"/>
  <c r="J31" i="20"/>
  <c r="K30" i="20"/>
  <c r="K426" i="20" s="1"/>
  <c r="J30" i="20"/>
  <c r="J426" i="20" s="1"/>
  <c r="J478" i="20" s="1"/>
  <c r="K29" i="20"/>
  <c r="K430" i="20" s="1"/>
  <c r="J29" i="20"/>
  <c r="J430" i="20" s="1"/>
  <c r="K28" i="20"/>
  <c r="K427" i="20" s="1"/>
  <c r="J28" i="20"/>
  <c r="J427" i="20" s="1"/>
  <c r="J479" i="20" s="1"/>
  <c r="K27" i="20"/>
  <c r="J27" i="20"/>
  <c r="K26" i="20"/>
  <c r="J26" i="20"/>
  <c r="I33" i="20"/>
  <c r="H33" i="20"/>
  <c r="I32" i="20"/>
  <c r="H32" i="20"/>
  <c r="I31" i="20"/>
  <c r="H31" i="20"/>
  <c r="I30" i="20"/>
  <c r="I426" i="20" s="1"/>
  <c r="I478" i="20" s="1"/>
  <c r="H30" i="20"/>
  <c r="H426" i="20" s="1"/>
  <c r="H478" i="20" s="1"/>
  <c r="I29" i="20"/>
  <c r="I430" i="20" s="1"/>
  <c r="H29" i="20"/>
  <c r="H430" i="20" s="1"/>
  <c r="I28" i="20"/>
  <c r="I427" i="20" s="1"/>
  <c r="I479" i="20" s="1"/>
  <c r="H28" i="20"/>
  <c r="H427" i="20" s="1"/>
  <c r="H479" i="20" s="1"/>
  <c r="I27" i="20"/>
  <c r="H27" i="20"/>
  <c r="I26" i="20"/>
  <c r="H26" i="20"/>
  <c r="G33" i="20"/>
  <c r="F33" i="20"/>
  <c r="G32" i="20"/>
  <c r="F32" i="20"/>
  <c r="G31" i="20"/>
  <c r="F31" i="20"/>
  <c r="G30" i="20"/>
  <c r="G426" i="20" s="1"/>
  <c r="F30" i="20"/>
  <c r="F426" i="20" s="1"/>
  <c r="F478" i="20" s="1"/>
  <c r="G29" i="20"/>
  <c r="G430" i="20" s="1"/>
  <c r="F29" i="20"/>
  <c r="F430" i="20" s="1"/>
  <c r="G28" i="20"/>
  <c r="G427" i="20" s="1"/>
  <c r="F28" i="20"/>
  <c r="F427" i="20" s="1"/>
  <c r="F479" i="20" s="1"/>
  <c r="G27" i="20"/>
  <c r="F27" i="20"/>
  <c r="G26" i="20"/>
  <c r="F26" i="20"/>
  <c r="E33" i="20"/>
  <c r="D33" i="20"/>
  <c r="E32" i="20"/>
  <c r="D32" i="20"/>
  <c r="E31" i="20"/>
  <c r="D31" i="20"/>
  <c r="E30" i="20"/>
  <c r="D30" i="20"/>
  <c r="E29" i="20"/>
  <c r="D29" i="20"/>
  <c r="E28" i="20"/>
  <c r="D28" i="20"/>
  <c r="E27" i="20"/>
  <c r="D27" i="20"/>
  <c r="E26" i="20"/>
  <c r="D26" i="20"/>
  <c r="P110" i="26"/>
  <c r="P23" i="26"/>
  <c r="J23" i="26"/>
  <c r="P84" i="26"/>
  <c r="O84" i="26"/>
  <c r="P83" i="26"/>
  <c r="O83" i="26"/>
  <c r="P82" i="26"/>
  <c r="O82" i="26"/>
  <c r="P81" i="26"/>
  <c r="O81" i="26"/>
  <c r="J81" i="26"/>
  <c r="P113" i="26"/>
  <c r="O113" i="26"/>
  <c r="P112" i="26"/>
  <c r="O112" i="26"/>
  <c r="P111" i="26"/>
  <c r="O111" i="26"/>
  <c r="O110" i="26"/>
  <c r="J110" i="26"/>
  <c r="P55" i="26"/>
  <c r="O55" i="26"/>
  <c r="P54" i="26"/>
  <c r="O54" i="26"/>
  <c r="P53" i="26"/>
  <c r="O53" i="26"/>
  <c r="P52" i="26"/>
  <c r="O52" i="26"/>
  <c r="J52" i="26"/>
  <c r="P26" i="26"/>
  <c r="O26" i="26"/>
  <c r="P25" i="26"/>
  <c r="O25" i="26"/>
  <c r="P24" i="26"/>
  <c r="O24" i="26"/>
  <c r="O23" i="26"/>
  <c r="P109" i="26"/>
  <c r="O109" i="26"/>
  <c r="P108" i="26"/>
  <c r="O108" i="26"/>
  <c r="P107" i="26"/>
  <c r="O107" i="26"/>
  <c r="P106" i="26"/>
  <c r="O106" i="26"/>
  <c r="P105" i="26"/>
  <c r="O105" i="26"/>
  <c r="J105" i="26"/>
  <c r="P80" i="26"/>
  <c r="O80" i="26"/>
  <c r="P79" i="26"/>
  <c r="O79" i="26"/>
  <c r="P78" i="26"/>
  <c r="O78" i="26"/>
  <c r="P77" i="26"/>
  <c r="O77" i="26"/>
  <c r="P76" i="26"/>
  <c r="O76" i="26"/>
  <c r="J76" i="26"/>
  <c r="P51" i="26"/>
  <c r="O51" i="26"/>
  <c r="P50" i="26"/>
  <c r="O50" i="26"/>
  <c r="P49" i="26"/>
  <c r="O49" i="26"/>
  <c r="P48" i="26"/>
  <c r="O48" i="26"/>
  <c r="P47" i="26"/>
  <c r="O47" i="26"/>
  <c r="J47" i="26"/>
  <c r="P22" i="26"/>
  <c r="O22" i="26"/>
  <c r="P21" i="26"/>
  <c r="O21" i="26"/>
  <c r="P20" i="26"/>
  <c r="O20" i="26"/>
  <c r="P19" i="26"/>
  <c r="O19" i="26"/>
  <c r="P18" i="26"/>
  <c r="O18" i="26"/>
  <c r="J18" i="26"/>
  <c r="P104" i="26"/>
  <c r="P119" i="26" s="1"/>
  <c r="O104" i="26"/>
  <c r="O119" i="26" s="1"/>
  <c r="P103" i="26"/>
  <c r="O103" i="26"/>
  <c r="P102" i="26"/>
  <c r="O102" i="26"/>
  <c r="J102" i="26"/>
  <c r="P75" i="26"/>
  <c r="P90" i="26" s="1"/>
  <c r="O75" i="26"/>
  <c r="O90" i="26" s="1"/>
  <c r="P74" i="26"/>
  <c r="O74" i="26"/>
  <c r="P73" i="26"/>
  <c r="O73" i="26"/>
  <c r="J73" i="26"/>
  <c r="P46" i="26"/>
  <c r="P61" i="26" s="1"/>
  <c r="O46" i="26"/>
  <c r="O61" i="26" s="1"/>
  <c r="P45" i="26"/>
  <c r="O45" i="26"/>
  <c r="P44" i="26"/>
  <c r="O44" i="26"/>
  <c r="J44" i="26"/>
  <c r="P17" i="26"/>
  <c r="P32" i="26" s="1"/>
  <c r="O17" i="26"/>
  <c r="O32" i="26" s="1"/>
  <c r="P16" i="26"/>
  <c r="O16" i="26"/>
  <c r="P15" i="26"/>
  <c r="O15" i="26"/>
  <c r="O8" i="26"/>
  <c r="J15" i="26"/>
  <c r="P101" i="26"/>
  <c r="P121" i="26" s="1"/>
  <c r="O101" i="26"/>
  <c r="O121" i="26" s="1"/>
  <c r="P100" i="26"/>
  <c r="P120" i="26" s="1"/>
  <c r="O100" i="26"/>
  <c r="O120" i="26" s="1"/>
  <c r="P99" i="26"/>
  <c r="P118" i="26" s="1"/>
  <c r="O99" i="26"/>
  <c r="O118" i="26" s="1"/>
  <c r="P98" i="26"/>
  <c r="P117" i="26" s="1"/>
  <c r="O98" i="26"/>
  <c r="O117" i="26" s="1"/>
  <c r="P97" i="26"/>
  <c r="P116" i="26" s="1"/>
  <c r="O97" i="26"/>
  <c r="O116" i="26" s="1"/>
  <c r="P96" i="26"/>
  <c r="P115" i="26" s="1"/>
  <c r="O96" i="26"/>
  <c r="O115" i="26" s="1"/>
  <c r="P95" i="26"/>
  <c r="P114" i="26" s="1"/>
  <c r="O95" i="26"/>
  <c r="O114" i="26" s="1"/>
  <c r="J95" i="26"/>
  <c r="P72" i="26"/>
  <c r="P92" i="26" s="1"/>
  <c r="O72" i="26"/>
  <c r="O92" i="26" s="1"/>
  <c r="P71" i="26"/>
  <c r="P91" i="26" s="1"/>
  <c r="O71" i="26"/>
  <c r="O91" i="26" s="1"/>
  <c r="P70" i="26"/>
  <c r="P89" i="26" s="1"/>
  <c r="O70" i="26"/>
  <c r="O89" i="26" s="1"/>
  <c r="P69" i="26"/>
  <c r="P88" i="26" s="1"/>
  <c r="O69" i="26"/>
  <c r="O88" i="26" s="1"/>
  <c r="P68" i="26"/>
  <c r="O68" i="26"/>
  <c r="O87" i="26" s="1"/>
  <c r="P67" i="26"/>
  <c r="P86" i="26" s="1"/>
  <c r="O67" i="26"/>
  <c r="P66" i="26"/>
  <c r="P85" i="26" s="1"/>
  <c r="O66" i="26"/>
  <c r="O85" i="26" s="1"/>
  <c r="J66" i="26"/>
  <c r="P43" i="26"/>
  <c r="P63" i="26" s="1"/>
  <c r="O43" i="26"/>
  <c r="P42" i="26"/>
  <c r="O42" i="26"/>
  <c r="P41" i="26"/>
  <c r="P60" i="26" s="1"/>
  <c r="O41" i="26"/>
  <c r="P40" i="26"/>
  <c r="P59" i="26" s="1"/>
  <c r="O40" i="26"/>
  <c r="O59" i="26" s="1"/>
  <c r="P39" i="26"/>
  <c r="P58" i="26" s="1"/>
  <c r="O39" i="26"/>
  <c r="P38" i="26"/>
  <c r="P57" i="26" s="1"/>
  <c r="O38" i="26"/>
  <c r="P37" i="26"/>
  <c r="P56" i="26" s="1"/>
  <c r="O37" i="26"/>
  <c r="J37" i="26"/>
  <c r="P9" i="26"/>
  <c r="O9" i="26"/>
  <c r="P8" i="26"/>
  <c r="O10" i="26"/>
  <c r="P10" i="26"/>
  <c r="O11" i="26"/>
  <c r="O30" i="26" s="1"/>
  <c r="P11" i="26"/>
  <c r="P30" i="26" s="1"/>
  <c r="O12" i="26"/>
  <c r="O31" i="26" s="1"/>
  <c r="P12" i="26"/>
  <c r="O13" i="26"/>
  <c r="O33" i="26" s="1"/>
  <c r="P13" i="26"/>
  <c r="O14" i="26"/>
  <c r="P14" i="26"/>
  <c r="J8" i="26"/>
  <c r="P33" i="26" l="1"/>
  <c r="O56" i="26"/>
  <c r="O58" i="26"/>
  <c r="P87" i="26"/>
  <c r="O57" i="26"/>
  <c r="O62" i="26"/>
  <c r="O86" i="26"/>
  <c r="O29" i="26"/>
  <c r="O34" i="26"/>
  <c r="P62" i="26"/>
  <c r="O63" i="26"/>
  <c r="O60" i="26"/>
  <c r="P34" i="26"/>
  <c r="P29" i="26"/>
  <c r="O28" i="26"/>
  <c r="P27" i="26"/>
  <c r="P28" i="26"/>
  <c r="P31" i="26"/>
  <c r="K286" i="7"/>
  <c r="Q47" i="11" l="1"/>
  <c r="X47" i="11" s="1"/>
  <c r="N84" i="23"/>
  <c r="N75" i="23"/>
  <c r="O164" i="10"/>
  <c r="M32" i="12"/>
  <c r="L32" i="12"/>
  <c r="M29" i="12"/>
  <c r="L29" i="12"/>
  <c r="N31" i="23" l="1"/>
  <c r="N68" i="23" l="1"/>
  <c r="N57" i="23"/>
  <c r="N39" i="23"/>
  <c r="M41" i="23"/>
  <c r="O186" i="10"/>
  <c r="N41" i="23" l="1"/>
  <c r="N93" i="23" l="1"/>
  <c r="K414" i="20"/>
  <c r="K439" i="20" s="1"/>
  <c r="N66" i="23"/>
  <c r="N48" i="23"/>
  <c r="M24" i="23"/>
  <c r="N24" i="23"/>
  <c r="N25" i="23"/>
  <c r="N26" i="23"/>
  <c r="N27" i="23"/>
  <c r="N28" i="23"/>
  <c r="E384" i="20"/>
  <c r="D384" i="20"/>
  <c r="E383" i="20"/>
  <c r="D383" i="20"/>
  <c r="E382" i="20"/>
  <c r="D382" i="20"/>
  <c r="E381" i="20"/>
  <c r="D381" i="20"/>
  <c r="E380" i="20"/>
  <c r="D380" i="20"/>
  <c r="E379" i="20"/>
  <c r="D379" i="20"/>
  <c r="E378" i="20"/>
  <c r="D378" i="20"/>
  <c r="E377" i="20"/>
  <c r="D377" i="20"/>
  <c r="I341" i="20" l="1"/>
  <c r="E341" i="20"/>
  <c r="D341" i="20"/>
  <c r="E340" i="20"/>
  <c r="D340" i="20"/>
  <c r="E339" i="20"/>
  <c r="D339" i="20"/>
  <c r="E338" i="20"/>
  <c r="D338" i="20"/>
  <c r="E337" i="20"/>
  <c r="D337" i="20"/>
  <c r="E336" i="20"/>
  <c r="D336" i="20"/>
  <c r="E335" i="20"/>
  <c r="D335" i="20"/>
  <c r="E334" i="20"/>
  <c r="D334" i="20"/>
  <c r="E414" i="20"/>
  <c r="D414" i="20"/>
  <c r="E413" i="20"/>
  <c r="D413" i="20"/>
  <c r="E412" i="20"/>
  <c r="D412" i="20"/>
  <c r="E411" i="20"/>
  <c r="D411" i="20"/>
  <c r="E410" i="20"/>
  <c r="D410" i="20"/>
  <c r="E409" i="20"/>
  <c r="D409" i="20"/>
  <c r="E408" i="20"/>
  <c r="D408" i="20"/>
  <c r="E407" i="20"/>
  <c r="D407" i="20"/>
  <c r="E406" i="20"/>
  <c r="D406" i="20"/>
  <c r="E405" i="20"/>
  <c r="D405" i="20"/>
  <c r="E404" i="20"/>
  <c r="D404" i="20"/>
  <c r="G403" i="20"/>
  <c r="E403" i="20"/>
  <c r="D403" i="20"/>
  <c r="G402" i="20"/>
  <c r="E402" i="20"/>
  <c r="D402" i="20"/>
  <c r="G401" i="20"/>
  <c r="E401" i="20"/>
  <c r="D401" i="20"/>
  <c r="G400" i="20"/>
  <c r="E400" i="20"/>
  <c r="D400" i="20"/>
  <c r="G399" i="20"/>
  <c r="F399" i="20"/>
  <c r="E399" i="20"/>
  <c r="D399" i="20"/>
  <c r="G34" i="20"/>
  <c r="E41" i="20"/>
  <c r="D41" i="20"/>
  <c r="E40" i="20"/>
  <c r="D40" i="20"/>
  <c r="E39" i="20"/>
  <c r="D39" i="20"/>
  <c r="E38" i="20"/>
  <c r="D38" i="20"/>
  <c r="E37" i="20"/>
  <c r="D37" i="20"/>
  <c r="E36" i="20"/>
  <c r="D36" i="20"/>
  <c r="E35" i="20"/>
  <c r="D35" i="20"/>
  <c r="E34" i="20"/>
  <c r="D34" i="20"/>
  <c r="M384" i="20"/>
  <c r="M93" i="23"/>
  <c r="L384" i="20" s="1"/>
  <c r="N92" i="23"/>
  <c r="M383" i="20" s="1"/>
  <c r="M92" i="23"/>
  <c r="L383" i="20" s="1"/>
  <c r="N91" i="23"/>
  <c r="M382" i="20" s="1"/>
  <c r="M91" i="23"/>
  <c r="L382" i="20" s="1"/>
  <c r="N90" i="23"/>
  <c r="M381" i="20" s="1"/>
  <c r="M90" i="23"/>
  <c r="L381" i="20" s="1"/>
  <c r="N89" i="23"/>
  <c r="M380" i="20" s="1"/>
  <c r="M89" i="23"/>
  <c r="L380" i="20" s="1"/>
  <c r="N88" i="23"/>
  <c r="M379" i="20" s="1"/>
  <c r="M88" i="23"/>
  <c r="L379" i="20" s="1"/>
  <c r="N87" i="23"/>
  <c r="M378" i="20" s="1"/>
  <c r="M87" i="23"/>
  <c r="L378" i="20" s="1"/>
  <c r="N86" i="23"/>
  <c r="M86" i="23"/>
  <c r="M414" i="20"/>
  <c r="M84" i="23"/>
  <c r="L414" i="20" s="1"/>
  <c r="N83" i="23"/>
  <c r="M413" i="20" s="1"/>
  <c r="M83" i="23"/>
  <c r="L413" i="20" s="1"/>
  <c r="N82" i="23"/>
  <c r="M412" i="20" s="1"/>
  <c r="M82" i="23"/>
  <c r="L412" i="20" s="1"/>
  <c r="N81" i="23"/>
  <c r="M411" i="20" s="1"/>
  <c r="M81" i="23"/>
  <c r="L411" i="20" s="1"/>
  <c r="N80" i="23"/>
  <c r="M410" i="20" s="1"/>
  <c r="M80" i="23"/>
  <c r="L410" i="20" s="1"/>
  <c r="N79" i="23"/>
  <c r="M409" i="20" s="1"/>
  <c r="M79" i="23"/>
  <c r="L409" i="20" s="1"/>
  <c r="N78" i="23"/>
  <c r="M408" i="20" s="1"/>
  <c r="M78" i="23"/>
  <c r="L408" i="20" s="1"/>
  <c r="N77" i="23"/>
  <c r="M77" i="23"/>
  <c r="M75" i="23"/>
  <c r="J414" i="20" s="1"/>
  <c r="J439" i="20" s="1"/>
  <c r="N74" i="23"/>
  <c r="K413" i="20" s="1"/>
  <c r="K446" i="20" s="1"/>
  <c r="M74" i="23"/>
  <c r="J413" i="20" s="1"/>
  <c r="J446" i="20" s="1"/>
  <c r="N73" i="23"/>
  <c r="K412" i="20" s="1"/>
  <c r="K432" i="20" s="1"/>
  <c r="M73" i="23"/>
  <c r="J412" i="20" s="1"/>
  <c r="J432" i="20" s="1"/>
  <c r="N72" i="23"/>
  <c r="K411" i="20" s="1"/>
  <c r="K431" i="20" s="1"/>
  <c r="M72" i="23"/>
  <c r="J411" i="20" s="1"/>
  <c r="J431" i="20" s="1"/>
  <c r="N71" i="23"/>
  <c r="K410" i="20" s="1"/>
  <c r="M71" i="23"/>
  <c r="J410" i="20" s="1"/>
  <c r="N70" i="23"/>
  <c r="K409" i="20" s="1"/>
  <c r="K429" i="20" s="1"/>
  <c r="M70" i="23"/>
  <c r="J409" i="20" s="1"/>
  <c r="J429" i="20" s="1"/>
  <c r="N69" i="23"/>
  <c r="K408" i="20" s="1"/>
  <c r="M69" i="23"/>
  <c r="J408" i="20" s="1"/>
  <c r="M68" i="23"/>
  <c r="M66" i="23"/>
  <c r="H341" i="20" s="1"/>
  <c r="N65" i="23"/>
  <c r="I340" i="20" s="1"/>
  <c r="M65" i="23"/>
  <c r="H340" i="20" s="1"/>
  <c r="N64" i="23"/>
  <c r="I339" i="20" s="1"/>
  <c r="M64" i="23"/>
  <c r="H339" i="20" s="1"/>
  <c r="N63" i="23"/>
  <c r="I338" i="20" s="1"/>
  <c r="M63" i="23"/>
  <c r="H338" i="20" s="1"/>
  <c r="N62" i="23"/>
  <c r="I337" i="20" s="1"/>
  <c r="M62" i="23"/>
  <c r="H337" i="20" s="1"/>
  <c r="N61" i="23"/>
  <c r="I336" i="20" s="1"/>
  <c r="M61" i="23"/>
  <c r="H336" i="20" s="1"/>
  <c r="N60" i="23"/>
  <c r="I335" i="20" s="1"/>
  <c r="M60" i="23"/>
  <c r="H335" i="20" s="1"/>
  <c r="N59" i="23"/>
  <c r="M59" i="23"/>
  <c r="I414" i="20"/>
  <c r="M57" i="23"/>
  <c r="H414" i="20" s="1"/>
  <c r="N56" i="23"/>
  <c r="I413" i="20" s="1"/>
  <c r="M56" i="23"/>
  <c r="H413" i="20" s="1"/>
  <c r="N55" i="23"/>
  <c r="I412" i="20" s="1"/>
  <c r="M55" i="23"/>
  <c r="H412" i="20" s="1"/>
  <c r="N54" i="23"/>
  <c r="I411" i="20" s="1"/>
  <c r="M54" i="23"/>
  <c r="H411" i="20" s="1"/>
  <c r="N53" i="23"/>
  <c r="I410" i="20" s="1"/>
  <c r="M53" i="23"/>
  <c r="H410" i="20" s="1"/>
  <c r="N52" i="23"/>
  <c r="I409" i="20" s="1"/>
  <c r="M52" i="23"/>
  <c r="H409" i="20" s="1"/>
  <c r="N51" i="23"/>
  <c r="I408" i="20" s="1"/>
  <c r="M51" i="23"/>
  <c r="H408" i="20" s="1"/>
  <c r="N50" i="23"/>
  <c r="M50" i="23"/>
  <c r="G41" i="20"/>
  <c r="M48" i="23"/>
  <c r="F41" i="20" s="1"/>
  <c r="N47" i="23"/>
  <c r="G40" i="20" s="1"/>
  <c r="M47" i="23"/>
  <c r="F40" i="20" s="1"/>
  <c r="N46" i="23"/>
  <c r="G39" i="20" s="1"/>
  <c r="M46" i="23"/>
  <c r="F39" i="20" s="1"/>
  <c r="N45" i="23"/>
  <c r="G38" i="20" s="1"/>
  <c r="M45" i="23"/>
  <c r="F38" i="20" s="1"/>
  <c r="N44" i="23"/>
  <c r="G37" i="20" s="1"/>
  <c r="M44" i="23"/>
  <c r="F37" i="20" s="1"/>
  <c r="N43" i="23"/>
  <c r="G36" i="20" s="1"/>
  <c r="M43" i="23"/>
  <c r="F36" i="20" s="1"/>
  <c r="N42" i="23"/>
  <c r="G35" i="20" s="1"/>
  <c r="M42" i="23"/>
  <c r="F35" i="20" s="1"/>
  <c r="G414" i="20"/>
  <c r="M39" i="23"/>
  <c r="F414" i="20" s="1"/>
  <c r="N38" i="23"/>
  <c r="G413" i="20" s="1"/>
  <c r="M38" i="23"/>
  <c r="F413" i="20" s="1"/>
  <c r="N37" i="23"/>
  <c r="G412" i="20" s="1"/>
  <c r="M37" i="23"/>
  <c r="F412" i="20" s="1"/>
  <c r="N36" i="23"/>
  <c r="G411" i="20" s="1"/>
  <c r="M36" i="23"/>
  <c r="F411" i="20" s="1"/>
  <c r="N35" i="23"/>
  <c r="G410" i="20" s="1"/>
  <c r="M35" i="23"/>
  <c r="F410" i="20" s="1"/>
  <c r="N34" i="23"/>
  <c r="G409" i="20" s="1"/>
  <c r="M34" i="23"/>
  <c r="F409" i="20" s="1"/>
  <c r="N33" i="23"/>
  <c r="G408" i="20" s="1"/>
  <c r="M33" i="23"/>
  <c r="F408" i="20" s="1"/>
  <c r="N32" i="23"/>
  <c r="G407" i="20" s="1"/>
  <c r="M32" i="23"/>
  <c r="G406" i="20"/>
  <c r="M31" i="23"/>
  <c r="F406" i="20" s="1"/>
  <c r="N30" i="23"/>
  <c r="G405" i="20" s="1"/>
  <c r="M30" i="23"/>
  <c r="F405" i="20" s="1"/>
  <c r="N29" i="23"/>
  <c r="G404" i="20" s="1"/>
  <c r="M29" i="23"/>
  <c r="F404" i="20" s="1"/>
  <c r="M28" i="23"/>
  <c r="F403" i="20" s="1"/>
  <c r="M27" i="23"/>
  <c r="M26" i="23"/>
  <c r="F401" i="20" s="1"/>
  <c r="M25" i="23"/>
  <c r="F400" i="20" s="1"/>
  <c r="F431" i="20" l="1"/>
  <c r="H429" i="20"/>
  <c r="H446" i="20"/>
  <c r="G429" i="20"/>
  <c r="G431" i="20"/>
  <c r="G446" i="20"/>
  <c r="I429" i="20"/>
  <c r="I431" i="20"/>
  <c r="I446" i="20"/>
  <c r="L429" i="20"/>
  <c r="L431" i="20"/>
  <c r="L446" i="20"/>
  <c r="L498" i="20" s="1"/>
  <c r="F439" i="20"/>
  <c r="H439" i="20"/>
  <c r="M429" i="20"/>
  <c r="M431" i="20"/>
  <c r="M446" i="20"/>
  <c r="M498" i="20" s="1"/>
  <c r="F432" i="20"/>
  <c r="H432" i="20"/>
  <c r="G432" i="20"/>
  <c r="G439" i="20"/>
  <c r="G491" i="20" s="1"/>
  <c r="I432" i="20"/>
  <c r="L432" i="20"/>
  <c r="L439" i="20"/>
  <c r="L491" i="20" s="1"/>
  <c r="F429" i="20"/>
  <c r="F446" i="20"/>
  <c r="F498" i="20" s="1"/>
  <c r="H431" i="20"/>
  <c r="M432" i="20"/>
  <c r="M439" i="20"/>
  <c r="M491" i="20" s="1"/>
  <c r="I439" i="20"/>
  <c r="I491" i="20" s="1"/>
  <c r="O66" i="23"/>
  <c r="O39" i="23"/>
  <c r="O31" i="23"/>
  <c r="P66" i="23"/>
  <c r="H334" i="20"/>
  <c r="I334" i="20"/>
  <c r="O93" i="23"/>
  <c r="L377" i="20"/>
  <c r="O84" i="23"/>
  <c r="L407" i="20"/>
  <c r="O75" i="23"/>
  <c r="J407" i="20"/>
  <c r="O57" i="23"/>
  <c r="H407" i="20"/>
  <c r="O48" i="23"/>
  <c r="F407" i="20"/>
  <c r="F402" i="20"/>
  <c r="F491" i="20"/>
  <c r="F34" i="20"/>
  <c r="P93" i="23"/>
  <c r="M377" i="20"/>
  <c r="H491" i="20"/>
  <c r="P84" i="23"/>
  <c r="M407" i="20"/>
  <c r="P75" i="23"/>
  <c r="K407" i="20"/>
  <c r="P57" i="23"/>
  <c r="I407" i="20"/>
  <c r="P48" i="23"/>
  <c r="P39" i="23"/>
  <c r="P31" i="23"/>
  <c r="O94" i="23" l="1"/>
  <c r="O49" i="23"/>
  <c r="O76" i="23"/>
  <c r="J491" i="20"/>
  <c r="K491" i="20"/>
  <c r="P67" i="23"/>
  <c r="O67" i="23"/>
  <c r="P76" i="23"/>
  <c r="P94" i="23"/>
  <c r="P49" i="23"/>
  <c r="M448" i="20"/>
  <c r="M500" i="20" s="1"/>
  <c r="M443" i="20"/>
  <c r="M495" i="20" s="1"/>
  <c r="M442" i="20"/>
  <c r="M494" i="20" s="1"/>
  <c r="L448" i="20"/>
  <c r="L500" i="20" s="1"/>
  <c r="L443" i="20"/>
  <c r="L495" i="20" s="1"/>
  <c r="L442" i="20"/>
  <c r="L494" i="20" s="1"/>
  <c r="K448" i="20"/>
  <c r="J448" i="20"/>
  <c r="G448" i="20"/>
  <c r="G500" i="20" s="1"/>
  <c r="G443" i="20"/>
  <c r="G495" i="20" s="1"/>
  <c r="F448" i="20"/>
  <c r="F500" i="20" s="1"/>
  <c r="F443" i="20"/>
  <c r="F495" i="20" s="1"/>
  <c r="M468" i="20"/>
  <c r="M466" i="20"/>
  <c r="M465" i="20"/>
  <c r="M483" i="20" s="1"/>
  <c r="M464" i="20"/>
  <c r="M501" i="20" s="1"/>
  <c r="M463" i="20"/>
  <c r="M484" i="20" s="1"/>
  <c r="M462" i="20"/>
  <c r="M481" i="20" s="1"/>
  <c r="M461" i="20"/>
  <c r="M397" i="20"/>
  <c r="M369" i="20"/>
  <c r="M367" i="20"/>
  <c r="M366" i="20"/>
  <c r="M280" i="20"/>
  <c r="M279" i="20"/>
  <c r="M270" i="20"/>
  <c r="M248" i="20"/>
  <c r="M116" i="20"/>
  <c r="M107" i="20"/>
  <c r="M101" i="20"/>
  <c r="M100" i="20"/>
  <c r="M99" i="20"/>
  <c r="M85" i="20"/>
  <c r="M84" i="20"/>
  <c r="M82" i="20"/>
  <c r="M81" i="20"/>
  <c r="M25" i="20"/>
  <c r="M17" i="20"/>
  <c r="M438" i="20" s="1"/>
  <c r="M490" i="20" s="1"/>
  <c r="M16" i="20"/>
  <c r="M15" i="20"/>
  <c r="M444" i="20" s="1"/>
  <c r="M496" i="20" s="1"/>
  <c r="M14" i="20"/>
  <c r="M447" i="20" s="1"/>
  <c r="M499" i="20" s="1"/>
  <c r="M13" i="20"/>
  <c r="M441" i="20" s="1"/>
  <c r="M493" i="20" s="1"/>
  <c r="M12" i="20"/>
  <c r="M11" i="20"/>
  <c r="M10" i="20"/>
  <c r="M7" i="20"/>
  <c r="L81" i="20"/>
  <c r="T134" i="14"/>
  <c r="S134" i="14"/>
  <c r="T90" i="14"/>
  <c r="S90" i="14"/>
  <c r="V224" i="3"/>
  <c r="S315" i="4"/>
  <c r="Q119" i="2"/>
  <c r="T315" i="4"/>
  <c r="L280" i="20"/>
  <c r="L279" i="20"/>
  <c r="L369" i="20"/>
  <c r="K249" i="20"/>
  <c r="J249" i="20"/>
  <c r="L270" i="20"/>
  <c r="K366" i="20"/>
  <c r="S340" i="4"/>
  <c r="Q253" i="4"/>
  <c r="AA45" i="17"/>
  <c r="K112" i="8"/>
  <c r="P480" i="6"/>
  <c r="T141" i="14"/>
  <c r="W236" i="3"/>
  <c r="T340" i="4"/>
  <c r="R128" i="2"/>
  <c r="R81" i="1"/>
  <c r="P176" i="10"/>
  <c r="J102" i="8"/>
  <c r="K270" i="20"/>
  <c r="J270" i="20"/>
  <c r="K131" i="20"/>
  <c r="J131" i="20"/>
  <c r="K61" i="8"/>
  <c r="J61" i="8"/>
  <c r="I362" i="20"/>
  <c r="H362" i="20"/>
  <c r="I280" i="20"/>
  <c r="H280" i="20"/>
  <c r="I319" i="20"/>
  <c r="H319" i="20"/>
  <c r="E319" i="20"/>
  <c r="D319" i="20"/>
  <c r="E198" i="20"/>
  <c r="D198" i="20"/>
  <c r="I318" i="20"/>
  <c r="H318" i="20"/>
  <c r="E318" i="20"/>
  <c r="D318" i="20"/>
  <c r="I270" i="20"/>
  <c r="H270" i="20"/>
  <c r="I197" i="20"/>
  <c r="H197" i="20"/>
  <c r="E217" i="20"/>
  <c r="D217" i="20"/>
  <c r="E251" i="20"/>
  <c r="D251" i="20"/>
  <c r="G251" i="20"/>
  <c r="F251" i="20"/>
  <c r="G286" i="20"/>
  <c r="E286" i="20"/>
  <c r="D286" i="20"/>
  <c r="F286" i="20"/>
  <c r="G305" i="20"/>
  <c r="F305" i="20"/>
  <c r="E305" i="20"/>
  <c r="D305" i="20"/>
  <c r="G304" i="20"/>
  <c r="F304" i="20"/>
  <c r="E304" i="20"/>
  <c r="D304" i="20"/>
  <c r="G197" i="20"/>
  <c r="F197" i="20"/>
  <c r="E197" i="20"/>
  <c r="D197" i="20"/>
  <c r="G389" i="20"/>
  <c r="F389" i="20"/>
  <c r="E389" i="20"/>
  <c r="D389" i="20"/>
  <c r="G388" i="20"/>
  <c r="F388" i="20"/>
  <c r="E388" i="20"/>
  <c r="D388" i="20"/>
  <c r="G391" i="20"/>
  <c r="F391" i="20"/>
  <c r="G390" i="20"/>
  <c r="F390" i="20"/>
  <c r="E391" i="20"/>
  <c r="D391" i="20"/>
  <c r="E390" i="20"/>
  <c r="D390" i="20"/>
  <c r="I398" i="20"/>
  <c r="H398" i="20"/>
  <c r="G398" i="20"/>
  <c r="F398" i="20"/>
  <c r="E398" i="20"/>
  <c r="D398" i="20"/>
  <c r="L397" i="20"/>
  <c r="E397" i="20"/>
  <c r="D397" i="20"/>
  <c r="K396" i="20"/>
  <c r="J396" i="20"/>
  <c r="E396" i="20"/>
  <c r="D396" i="20"/>
  <c r="I395" i="20"/>
  <c r="H395" i="20"/>
  <c r="G395" i="20"/>
  <c r="F395" i="20"/>
  <c r="E395" i="20"/>
  <c r="D395" i="20"/>
  <c r="E8" i="20"/>
  <c r="D8" i="20"/>
  <c r="K5" i="20"/>
  <c r="J5" i="20"/>
  <c r="H5" i="20"/>
  <c r="G5" i="20"/>
  <c r="F5" i="20"/>
  <c r="AG189" i="15"/>
  <c r="AG394" i="15"/>
  <c r="AG593" i="15"/>
  <c r="P198" i="10"/>
  <c r="P127" i="10"/>
  <c r="P81" i="10"/>
  <c r="Z45" i="17"/>
  <c r="AA38" i="17"/>
  <c r="Z38" i="17"/>
  <c r="Z31" i="17"/>
  <c r="AA31" i="17"/>
  <c r="AA18" i="17"/>
  <c r="Z18" i="17"/>
  <c r="J112" i="8"/>
  <c r="K111" i="8"/>
  <c r="J111" i="8"/>
  <c r="K108" i="8"/>
  <c r="J108" i="8"/>
  <c r="K105" i="8"/>
  <c r="J105" i="8"/>
  <c r="K102" i="8"/>
  <c r="K101" i="8"/>
  <c r="J101" i="8"/>
  <c r="K98" i="8"/>
  <c r="J98" i="8"/>
  <c r="K95" i="8"/>
  <c r="J95" i="8"/>
  <c r="K92" i="8"/>
  <c r="J92" i="8"/>
  <c r="K89" i="8"/>
  <c r="J89" i="8"/>
  <c r="K86" i="8"/>
  <c r="J86" i="8"/>
  <c r="K83" i="8"/>
  <c r="J83" i="8"/>
  <c r="K80" i="8"/>
  <c r="J80" i="8"/>
  <c r="K77" i="8"/>
  <c r="J77" i="8"/>
  <c r="K74" i="8"/>
  <c r="J74" i="8"/>
  <c r="J43" i="8"/>
  <c r="J71" i="8"/>
  <c r="K71" i="8"/>
  <c r="K70" i="8"/>
  <c r="J70" i="8"/>
  <c r="O480" i="6"/>
  <c r="O436" i="6"/>
  <c r="O252" i="6"/>
  <c r="O111" i="6"/>
  <c r="O90" i="6"/>
  <c r="O70" i="6"/>
  <c r="S141" i="14"/>
  <c r="S116" i="14"/>
  <c r="T110" i="14"/>
  <c r="S110" i="14"/>
  <c r="S98" i="14"/>
  <c r="S61" i="14"/>
  <c r="T44" i="14"/>
  <c r="S44" i="14"/>
  <c r="T98" i="14"/>
  <c r="V236" i="3"/>
  <c r="W224" i="3"/>
  <c r="W165" i="3"/>
  <c r="V165" i="3"/>
  <c r="W94" i="3"/>
  <c r="V94" i="3"/>
  <c r="T224" i="4"/>
  <c r="S224" i="4"/>
  <c r="S133" i="4"/>
  <c r="T133" i="4"/>
  <c r="Q58" i="1"/>
  <c r="Q67" i="1"/>
  <c r="Q81" i="1"/>
  <c r="R58" i="1"/>
  <c r="Q76" i="1"/>
  <c r="I70" i="8"/>
  <c r="H70" i="8" s="1"/>
  <c r="I69" i="8"/>
  <c r="H69" i="8" s="1"/>
  <c r="M449" i="20" l="1"/>
  <c r="M502" i="20" s="1"/>
  <c r="M445" i="20"/>
  <c r="M497" i="20" s="1"/>
  <c r="K500" i="20"/>
  <c r="M437" i="20"/>
  <c r="M489" i="20" s="1"/>
  <c r="J500" i="20"/>
  <c r="M440" i="20"/>
  <c r="M492" i="20" s="1"/>
  <c r="M467" i="20"/>
  <c r="M450" i="20"/>
  <c r="M503" i="20" s="1"/>
  <c r="Y30" i="17"/>
  <c r="X30" i="17"/>
  <c r="X29" i="17"/>
  <c r="Y29" i="17" s="1"/>
  <c r="Y28" i="17"/>
  <c r="X28" i="17"/>
  <c r="Y27" i="17"/>
  <c r="X27" i="17"/>
  <c r="X16" i="17"/>
  <c r="Y16" i="17" s="1"/>
  <c r="Y17" i="17"/>
  <c r="X17" i="17"/>
  <c r="Y15" i="17"/>
  <c r="X15" i="17"/>
  <c r="Y14" i="17"/>
  <c r="X14" i="17"/>
  <c r="M469" i="20" l="1"/>
  <c r="X31" i="17"/>
  <c r="Y31" i="17"/>
  <c r="X18" i="17"/>
  <c r="Y18" i="17"/>
  <c r="U151" i="3" l="1"/>
  <c r="T151" i="3"/>
  <c r="W150" i="3"/>
  <c r="Q150" i="3" s="1"/>
  <c r="W149" i="3"/>
  <c r="Q149" i="3" s="1"/>
  <c r="T150" i="3"/>
  <c r="T149" i="3"/>
  <c r="U149" i="3" l="1"/>
  <c r="U150" i="3"/>
  <c r="Y150" i="3"/>
  <c r="W78" i="3" l="1"/>
  <c r="Q78" i="3" s="1"/>
  <c r="W77" i="3"/>
  <c r="T78" i="3"/>
  <c r="T77" i="3"/>
  <c r="Y78" i="3" l="1"/>
  <c r="Q77" i="3"/>
  <c r="U77" i="3" s="1"/>
  <c r="U78" i="3"/>
  <c r="R202" i="4" l="1"/>
  <c r="Q202" i="4"/>
  <c r="R197" i="4"/>
  <c r="Q197" i="4"/>
  <c r="R96" i="4" l="1"/>
  <c r="Q96" i="4"/>
  <c r="Y44" i="17" l="1"/>
  <c r="X44" i="17"/>
  <c r="X43" i="17"/>
  <c r="Y43" i="17" s="1"/>
  <c r="Y42" i="17"/>
  <c r="X42" i="17"/>
  <c r="Y41" i="17"/>
  <c r="X41" i="17"/>
  <c r="Y37" i="17"/>
  <c r="X37" i="17"/>
  <c r="X36" i="17"/>
  <c r="Y36" i="17" s="1"/>
  <c r="Y35" i="17"/>
  <c r="X35" i="17"/>
  <c r="Y34" i="17"/>
  <c r="X34" i="17"/>
  <c r="Y24" i="17"/>
  <c r="X24" i="17"/>
  <c r="X23" i="17"/>
  <c r="Y23" i="17" s="1"/>
  <c r="Y22" i="17"/>
  <c r="X22" i="17"/>
  <c r="Y21" i="17"/>
  <c r="X21" i="17"/>
  <c r="X10" i="17"/>
  <c r="Y10" i="17" s="1"/>
  <c r="Y45" i="17" l="1"/>
  <c r="X45" i="17"/>
  <c r="X38" i="17"/>
  <c r="Y38" i="17"/>
  <c r="X25" i="17"/>
  <c r="Y25" i="17"/>
  <c r="Y11" i="17" l="1"/>
  <c r="X11" i="17"/>
  <c r="Y9" i="17"/>
  <c r="X9" i="17"/>
  <c r="Y8" i="17"/>
  <c r="Y12" i="17" s="1"/>
  <c r="X8" i="17"/>
  <c r="X12" i="17" l="1"/>
  <c r="Y58" i="11"/>
  <c r="X58" i="11"/>
  <c r="O81" i="10" l="1"/>
  <c r="N81" i="10"/>
  <c r="O80" i="10"/>
  <c r="N80" i="10"/>
  <c r="Y92" i="3"/>
  <c r="Y91" i="3"/>
  <c r="Y90" i="3"/>
  <c r="R131" i="4"/>
  <c r="Q131" i="4"/>
  <c r="R130" i="4"/>
  <c r="Q130" i="4"/>
  <c r="R129" i="4"/>
  <c r="Q129" i="4"/>
  <c r="R128" i="4"/>
  <c r="Q128" i="4"/>
  <c r="R127" i="4"/>
  <c r="Q127" i="4"/>
  <c r="R126" i="4"/>
  <c r="R133" i="4" s="1"/>
  <c r="Q126" i="4"/>
  <c r="Q133" i="4" s="1"/>
  <c r="Y89" i="3" l="1"/>
  <c r="Q89" i="3" s="1"/>
  <c r="Y88" i="3"/>
  <c r="Q92" i="3"/>
  <c r="T92" i="3"/>
  <c r="Q91" i="3"/>
  <c r="T91" i="3"/>
  <c r="T90" i="3"/>
  <c r="T89" i="3"/>
  <c r="T88" i="3"/>
  <c r="T64" i="2"/>
  <c r="I64" i="2" s="1"/>
  <c r="P64" i="2" s="1"/>
  <c r="T63" i="2"/>
  <c r="O64" i="2"/>
  <c r="O63" i="2"/>
  <c r="O65" i="2" s="1"/>
  <c r="T57" i="1"/>
  <c r="H57" i="1" s="1"/>
  <c r="P57" i="1" s="1"/>
  <c r="T56" i="1"/>
  <c r="H56" i="1" s="1"/>
  <c r="P56" i="1" s="1"/>
  <c r="O57" i="1"/>
  <c r="O56" i="1"/>
  <c r="O58" i="1" s="1"/>
  <c r="U92" i="3" l="1"/>
  <c r="T93" i="3"/>
  <c r="U89" i="3"/>
  <c r="Q88" i="3"/>
  <c r="U88" i="3" s="1"/>
  <c r="U91" i="3"/>
  <c r="Q90" i="3"/>
  <c r="U90" i="3" s="1"/>
  <c r="I63" i="2"/>
  <c r="P63" i="2" s="1"/>
  <c r="P65" i="2" s="1"/>
  <c r="P58" i="1"/>
  <c r="U93" i="3" l="1"/>
  <c r="Y235" i="3"/>
  <c r="Y234" i="3"/>
  <c r="Y223" i="3"/>
  <c r="Y222" i="3"/>
  <c r="Y233" i="3"/>
  <c r="Y232" i="3"/>
  <c r="Y221" i="3"/>
  <c r="Y220" i="3"/>
  <c r="M334" i="4"/>
  <c r="M309" i="4"/>
  <c r="Y231" i="3"/>
  <c r="Y230" i="3"/>
  <c r="Y219" i="3"/>
  <c r="Y218" i="3"/>
  <c r="T127" i="2"/>
  <c r="T126" i="2"/>
  <c r="T118" i="2"/>
  <c r="T117" i="2"/>
  <c r="T80" i="1"/>
  <c r="T79" i="1"/>
  <c r="T75" i="1"/>
  <c r="T74" i="1"/>
  <c r="Y215" i="3" l="1"/>
  <c r="Y214" i="3"/>
  <c r="M220" i="4"/>
  <c r="R220" i="4" s="1"/>
  <c r="Q220" i="4"/>
  <c r="Y85" i="3" l="1"/>
  <c r="Y84" i="3"/>
  <c r="Y83" i="3"/>
  <c r="R206" i="4"/>
  <c r="Y82" i="3"/>
  <c r="Y81" i="3"/>
  <c r="T60" i="2"/>
  <c r="T59" i="2"/>
  <c r="R108" i="14"/>
  <c r="Q108" i="14"/>
  <c r="R115" i="4"/>
  <c r="Q115" i="4"/>
  <c r="M111" i="4"/>
  <c r="R111" i="4" s="1"/>
  <c r="Q111" i="4"/>
  <c r="T53" i="1"/>
  <c r="T52" i="1"/>
  <c r="R207" i="4" l="1"/>
  <c r="Q207" i="4"/>
  <c r="I111" i="8" l="1"/>
  <c r="H111" i="8" s="1"/>
  <c r="I110" i="8"/>
  <c r="H110" i="8" s="1"/>
  <c r="Y74" i="3"/>
  <c r="Y73" i="3"/>
  <c r="R193" i="4" l="1"/>
  <c r="R104" i="4" l="1"/>
  <c r="Q104" i="4"/>
  <c r="Y72" i="3" l="1"/>
  <c r="Y71" i="3"/>
  <c r="T56" i="2"/>
  <c r="T55" i="2"/>
  <c r="M98" i="4"/>
  <c r="T49" i="1"/>
  <c r="T48" i="1"/>
  <c r="R329" i="4"/>
  <c r="Q329" i="4"/>
  <c r="M196" i="4"/>
  <c r="R196" i="4" s="1"/>
  <c r="Q196" i="4"/>
  <c r="M94" i="4"/>
  <c r="R94" i="4" s="1"/>
  <c r="Q94" i="4"/>
  <c r="Y68" i="3" l="1"/>
  <c r="Y67" i="3"/>
  <c r="R189" i="4"/>
  <c r="Q189" i="4"/>
  <c r="R188" i="4"/>
  <c r="R87" i="4"/>
  <c r="Q87" i="4"/>
  <c r="R86" i="4"/>
  <c r="Q86" i="4"/>
  <c r="R85" i="4"/>
  <c r="Q85" i="4"/>
  <c r="Y66" i="3"/>
  <c r="Y65" i="3"/>
  <c r="T52" i="2"/>
  <c r="T51" i="2"/>
  <c r="T45" i="1"/>
  <c r="T44" i="1"/>
  <c r="R83" i="4"/>
  <c r="R103" i="14"/>
  <c r="Q103" i="14"/>
  <c r="M75" i="4"/>
  <c r="Y138" i="3" l="1"/>
  <c r="Y137" i="3"/>
  <c r="Y136" i="3"/>
  <c r="Y135" i="3"/>
  <c r="R114" i="14"/>
  <c r="Q114" i="14"/>
  <c r="R113" i="14"/>
  <c r="Q113" i="14"/>
  <c r="M179" i="4"/>
  <c r="R178" i="4"/>
  <c r="Q178" i="4"/>
  <c r="R177" i="4"/>
  <c r="Q177" i="4"/>
  <c r="Y134" i="3"/>
  <c r="Y133" i="3"/>
  <c r="T93" i="2"/>
  <c r="T92" i="2"/>
  <c r="T66" i="1"/>
  <c r="T65" i="1"/>
  <c r="Q116" i="14" l="1"/>
  <c r="R116" i="14"/>
  <c r="R125" i="14" l="1"/>
  <c r="Q125" i="14"/>
  <c r="Y197" i="3"/>
  <c r="Y196" i="3"/>
  <c r="Y195" i="3"/>
  <c r="Y194" i="3"/>
  <c r="M265" i="4"/>
  <c r="Y193" i="3" l="1"/>
  <c r="Y192" i="3"/>
  <c r="T110" i="2"/>
  <c r="T109" i="2"/>
  <c r="T71" i="1"/>
  <c r="T70" i="1"/>
  <c r="Y124" i="3" l="1"/>
  <c r="Y123" i="3"/>
  <c r="Y62" i="3"/>
  <c r="Y61" i="3"/>
  <c r="R64" i="4"/>
  <c r="Q64" i="4"/>
  <c r="M58" i="4"/>
  <c r="M57" i="4"/>
  <c r="Y60" i="3"/>
  <c r="Y59" i="3"/>
  <c r="T48" i="2"/>
  <c r="T47" i="2"/>
  <c r="T41" i="1"/>
  <c r="T40" i="1"/>
  <c r="R259" i="4" l="1"/>
  <c r="R84" i="14" l="1"/>
  <c r="Y171" i="3" l="1"/>
  <c r="Y170" i="3"/>
  <c r="Q170" i="3" s="1"/>
  <c r="T171" i="3"/>
  <c r="T170" i="3"/>
  <c r="Y169" i="3"/>
  <c r="Y168" i="3"/>
  <c r="Y100" i="3"/>
  <c r="Y99" i="3"/>
  <c r="Y40" i="3"/>
  <c r="Y39" i="3"/>
  <c r="R228" i="4"/>
  <c r="Q228" i="4"/>
  <c r="Q52" i="11"/>
  <c r="Q63" i="11" s="1"/>
  <c r="U170" i="3" l="1"/>
  <c r="Q171" i="3"/>
  <c r="U171" i="3" s="1"/>
  <c r="Y97" i="3"/>
  <c r="Y96" i="3"/>
  <c r="Y38" i="3"/>
  <c r="Y37" i="3"/>
  <c r="T69" i="2"/>
  <c r="T68" i="2"/>
  <c r="T28" i="2"/>
  <c r="T27" i="2"/>
  <c r="T62" i="1"/>
  <c r="T61" i="1"/>
  <c r="T37" i="1"/>
  <c r="T36" i="1"/>
  <c r="L468" i="20" l="1"/>
  <c r="L466" i="20"/>
  <c r="L465" i="20"/>
  <c r="L483" i="20" s="1"/>
  <c r="L464" i="20"/>
  <c r="L501" i="20" s="1"/>
  <c r="L463" i="20"/>
  <c r="L484" i="20" s="1"/>
  <c r="L462" i="20"/>
  <c r="L481" i="20" s="1"/>
  <c r="L461" i="20"/>
  <c r="K468" i="20"/>
  <c r="K466" i="20"/>
  <c r="J466" i="20"/>
  <c r="K465" i="20"/>
  <c r="J465" i="20"/>
  <c r="K464" i="20"/>
  <c r="K501" i="20" s="1"/>
  <c r="J464" i="20"/>
  <c r="J501" i="20" s="1"/>
  <c r="K463" i="20"/>
  <c r="J463" i="20"/>
  <c r="K462" i="20"/>
  <c r="J462" i="20"/>
  <c r="K461" i="20"/>
  <c r="J461" i="20"/>
  <c r="J468" i="20"/>
  <c r="AH744" i="15"/>
  <c r="I468" i="20"/>
  <c r="H468" i="20"/>
  <c r="I466" i="20"/>
  <c r="H466" i="20"/>
  <c r="I465" i="20"/>
  <c r="H465" i="20"/>
  <c r="I464" i="20"/>
  <c r="I501" i="20" s="1"/>
  <c r="H464" i="20"/>
  <c r="H501" i="20" s="1"/>
  <c r="I463" i="20"/>
  <c r="H463" i="20"/>
  <c r="I462" i="20"/>
  <c r="H462" i="20"/>
  <c r="I461" i="20"/>
  <c r="H461" i="20"/>
  <c r="G468" i="20"/>
  <c r="F468" i="20"/>
  <c r="G466" i="20"/>
  <c r="F466" i="20"/>
  <c r="G465" i="20"/>
  <c r="F465" i="20"/>
  <c r="G464" i="20"/>
  <c r="G501" i="20" s="1"/>
  <c r="F464" i="20"/>
  <c r="F501" i="20" s="1"/>
  <c r="G463" i="20"/>
  <c r="F463" i="20"/>
  <c r="G462" i="20"/>
  <c r="F462" i="20"/>
  <c r="G461" i="20"/>
  <c r="F461" i="20"/>
  <c r="E466" i="20"/>
  <c r="D466" i="20"/>
  <c r="E465" i="20"/>
  <c r="D465" i="20"/>
  <c r="E464" i="20"/>
  <c r="D464" i="20"/>
  <c r="E463" i="20"/>
  <c r="D463" i="20"/>
  <c r="E462" i="20"/>
  <c r="D462" i="20"/>
  <c r="E461" i="20"/>
  <c r="D461" i="20"/>
  <c r="F467" i="20" l="1"/>
  <c r="I467" i="20"/>
  <c r="L467" i="20"/>
  <c r="H467" i="20"/>
  <c r="K467" i="20"/>
  <c r="J467" i="20"/>
  <c r="I29" i="13"/>
  <c r="H29" i="13" s="1"/>
  <c r="L469" i="20" l="1"/>
  <c r="K469" i="20"/>
  <c r="P435" i="6"/>
  <c r="P408" i="6"/>
  <c r="P390" i="6"/>
  <c r="P380" i="6"/>
  <c r="P372" i="6"/>
  <c r="P348" i="6"/>
  <c r="P276" i="6"/>
  <c r="O276" i="6"/>
  <c r="P288" i="6"/>
  <c r="O288" i="6"/>
  <c r="P299" i="6"/>
  <c r="O299" i="6"/>
  <c r="P309" i="6"/>
  <c r="O309" i="6"/>
  <c r="O348" i="6"/>
  <c r="O372" i="6"/>
  <c r="O380" i="6"/>
  <c r="O390" i="6"/>
  <c r="O408" i="6"/>
  <c r="O435" i="6"/>
  <c r="E186" i="20"/>
  <c r="D186" i="20"/>
  <c r="E369" i="20"/>
  <c r="D369" i="20"/>
  <c r="I352" i="20"/>
  <c r="I351" i="20"/>
  <c r="I350" i="20"/>
  <c r="I349" i="20"/>
  <c r="I348" i="20"/>
  <c r="I347" i="20"/>
  <c r="I325" i="20"/>
  <c r="I324" i="20"/>
  <c r="I323" i="20"/>
  <c r="I322" i="20"/>
  <c r="I321" i="20"/>
  <c r="I320" i="20"/>
  <c r="I293" i="20"/>
  <c r="I292" i="20"/>
  <c r="I291" i="20"/>
  <c r="I290" i="20"/>
  <c r="I289" i="20"/>
  <c r="I288" i="20"/>
  <c r="I272" i="20"/>
  <c r="I259" i="20"/>
  <c r="I448" i="20" s="1"/>
  <c r="I500" i="20" s="1"/>
  <c r="I258" i="20"/>
  <c r="I257" i="20"/>
  <c r="I256" i="20"/>
  <c r="I255" i="20"/>
  <c r="I252" i="20"/>
  <c r="I206" i="20"/>
  <c r="I205" i="20"/>
  <c r="I204" i="20"/>
  <c r="I203" i="20"/>
  <c r="I202" i="20"/>
  <c r="I201" i="20"/>
  <c r="I200" i="20"/>
  <c r="I172" i="20"/>
  <c r="I171" i="20"/>
  <c r="I170" i="20"/>
  <c r="I169" i="20"/>
  <c r="I168" i="20"/>
  <c r="I167" i="20"/>
  <c r="I166" i="20"/>
  <c r="I86" i="20"/>
  <c r="I85" i="20"/>
  <c r="I84" i="20"/>
  <c r="I53" i="20"/>
  <c r="I52" i="20"/>
  <c r="I51" i="20"/>
  <c r="I50" i="20"/>
  <c r="I49" i="20"/>
  <c r="I441" i="20" s="1"/>
  <c r="I493" i="20" s="1"/>
  <c r="I48" i="20"/>
  <c r="I47" i="20"/>
  <c r="E220" i="20"/>
  <c r="D220" i="20"/>
  <c r="E9" i="20"/>
  <c r="D9" i="20"/>
  <c r="O251" i="6"/>
  <c r="O237" i="6"/>
  <c r="O223" i="6"/>
  <c r="O201" i="6"/>
  <c r="O180" i="6"/>
  <c r="O158" i="6"/>
  <c r="O133" i="6"/>
  <c r="O129" i="6"/>
  <c r="E394" i="20"/>
  <c r="D394" i="20"/>
  <c r="E393" i="20"/>
  <c r="D393" i="20"/>
  <c r="K71" i="20"/>
  <c r="J71" i="20"/>
  <c r="K70" i="20"/>
  <c r="J70" i="20"/>
  <c r="K69" i="20"/>
  <c r="J69" i="20"/>
  <c r="K68" i="20"/>
  <c r="J68" i="20"/>
  <c r="E392" i="20"/>
  <c r="D392" i="20"/>
  <c r="E387" i="20"/>
  <c r="E386" i="20"/>
  <c r="D387" i="20"/>
  <c r="D386" i="20"/>
  <c r="D385" i="20"/>
  <c r="E385" i="20"/>
  <c r="E376" i="20"/>
  <c r="D376" i="20"/>
  <c r="E375" i="20"/>
  <c r="D375" i="20"/>
  <c r="E374" i="20"/>
  <c r="D374" i="20"/>
  <c r="E373" i="20"/>
  <c r="D373" i="20"/>
  <c r="E372" i="20"/>
  <c r="D372" i="20"/>
  <c r="E371" i="20"/>
  <c r="D371" i="20"/>
  <c r="E370" i="20"/>
  <c r="D370" i="20"/>
  <c r="E368" i="20"/>
  <c r="D368" i="20"/>
  <c r="E367" i="20"/>
  <c r="D367" i="20"/>
  <c r="E366" i="20"/>
  <c r="D366" i="20"/>
  <c r="O195" i="10"/>
  <c r="M365" i="20" s="1"/>
  <c r="E365" i="20"/>
  <c r="E364" i="20"/>
  <c r="D365" i="20"/>
  <c r="D364" i="20"/>
  <c r="E363" i="20"/>
  <c r="D363" i="20"/>
  <c r="E362" i="20"/>
  <c r="D362" i="20"/>
  <c r="E361" i="20"/>
  <c r="D361" i="20"/>
  <c r="E360" i="20"/>
  <c r="D360" i="20"/>
  <c r="E359" i="20"/>
  <c r="D359" i="20"/>
  <c r="E358" i="20"/>
  <c r="D358" i="20"/>
  <c r="E357" i="20"/>
  <c r="D357" i="20"/>
  <c r="E356" i="20"/>
  <c r="D356" i="20"/>
  <c r="E355" i="20"/>
  <c r="D355" i="20"/>
  <c r="K351" i="20"/>
  <c r="J351" i="20"/>
  <c r="K352" i="20"/>
  <c r="J352" i="20"/>
  <c r="K347" i="20"/>
  <c r="J347" i="20"/>
  <c r="K354" i="20"/>
  <c r="J354" i="20"/>
  <c r="E353" i="20"/>
  <c r="E354" i="20"/>
  <c r="D354" i="20"/>
  <c r="K350" i="20"/>
  <c r="J350" i="20"/>
  <c r="K348" i="20"/>
  <c r="J348" i="20"/>
  <c r="K349" i="20"/>
  <c r="J349" i="20"/>
  <c r="K353" i="20"/>
  <c r="J353" i="20"/>
  <c r="D353" i="20"/>
  <c r="H352" i="20"/>
  <c r="H351" i="20"/>
  <c r="H350" i="20"/>
  <c r="H349" i="20"/>
  <c r="H348" i="20"/>
  <c r="H347" i="20"/>
  <c r="E352" i="20"/>
  <c r="D352" i="20"/>
  <c r="E351" i="20"/>
  <c r="D351" i="20"/>
  <c r="E350" i="20"/>
  <c r="D350" i="20"/>
  <c r="E349" i="20"/>
  <c r="D349" i="20"/>
  <c r="E348" i="20"/>
  <c r="D348" i="20"/>
  <c r="E347" i="20"/>
  <c r="D347" i="20"/>
  <c r="E346" i="20"/>
  <c r="D346" i="20"/>
  <c r="E345" i="20"/>
  <c r="D345" i="20"/>
  <c r="E344" i="20"/>
  <c r="D344" i="20"/>
  <c r="E343" i="20"/>
  <c r="D343" i="20"/>
  <c r="E342" i="20"/>
  <c r="D342" i="20"/>
  <c r="E333" i="20"/>
  <c r="D333" i="20"/>
  <c r="E332" i="20"/>
  <c r="D332" i="20"/>
  <c r="E331" i="20"/>
  <c r="D331" i="20"/>
  <c r="E330" i="20"/>
  <c r="D330" i="20"/>
  <c r="E329" i="20"/>
  <c r="D329" i="20"/>
  <c r="E328" i="20"/>
  <c r="D328" i="20"/>
  <c r="E327" i="20"/>
  <c r="D327" i="20"/>
  <c r="E326" i="20"/>
  <c r="D326" i="20"/>
  <c r="H325" i="20"/>
  <c r="H324" i="20"/>
  <c r="H323" i="20"/>
  <c r="H322" i="20"/>
  <c r="H321" i="20"/>
  <c r="H320" i="20"/>
  <c r="E325" i="20"/>
  <c r="D325" i="20"/>
  <c r="E324" i="20"/>
  <c r="D324" i="20"/>
  <c r="E323" i="20"/>
  <c r="D323" i="20"/>
  <c r="E322" i="20"/>
  <c r="D322" i="20"/>
  <c r="E321" i="20"/>
  <c r="D321" i="20"/>
  <c r="E320" i="20"/>
  <c r="D320" i="20"/>
  <c r="E317" i="20"/>
  <c r="D317" i="20"/>
  <c r="E316" i="20"/>
  <c r="D316" i="20"/>
  <c r="E315" i="20"/>
  <c r="D315" i="20"/>
  <c r="E314" i="20"/>
  <c r="D314" i="20"/>
  <c r="E313" i="20"/>
  <c r="D313" i="20"/>
  <c r="E312" i="20"/>
  <c r="D312" i="20"/>
  <c r="E311" i="20"/>
  <c r="D311" i="20"/>
  <c r="E310" i="20"/>
  <c r="D310" i="20"/>
  <c r="E309" i="20"/>
  <c r="D309" i="20"/>
  <c r="E308" i="20"/>
  <c r="D308" i="20"/>
  <c r="G307" i="20"/>
  <c r="F307" i="20"/>
  <c r="E307" i="20"/>
  <c r="D307" i="20"/>
  <c r="G306" i="20"/>
  <c r="F306" i="20"/>
  <c r="E306" i="20"/>
  <c r="D306" i="20"/>
  <c r="E303" i="20"/>
  <c r="D303" i="20"/>
  <c r="E302" i="20"/>
  <c r="D302" i="20"/>
  <c r="E301" i="20"/>
  <c r="D301" i="20"/>
  <c r="K334" i="7"/>
  <c r="K296" i="20" s="1"/>
  <c r="K332" i="7"/>
  <c r="K294" i="20" s="1"/>
  <c r="E300" i="20"/>
  <c r="D300" i="20"/>
  <c r="E299" i="20"/>
  <c r="D299" i="20"/>
  <c r="E298" i="20"/>
  <c r="D298" i="20"/>
  <c r="E297" i="20"/>
  <c r="D297" i="20"/>
  <c r="E296" i="20"/>
  <c r="D296" i="20"/>
  <c r="E295" i="20"/>
  <c r="D295" i="20"/>
  <c r="E294" i="20"/>
  <c r="D294" i="20"/>
  <c r="K293" i="20"/>
  <c r="J293" i="20"/>
  <c r="K292" i="20"/>
  <c r="J292" i="20"/>
  <c r="K291" i="20"/>
  <c r="J291" i="20"/>
  <c r="K290" i="20"/>
  <c r="J290" i="20"/>
  <c r="K289" i="20"/>
  <c r="J289" i="20"/>
  <c r="K288" i="20"/>
  <c r="J288" i="20"/>
  <c r="H293" i="20"/>
  <c r="H292" i="20"/>
  <c r="H291" i="20"/>
  <c r="H290" i="20"/>
  <c r="H289" i="20"/>
  <c r="H288" i="20"/>
  <c r="G293" i="20"/>
  <c r="F293" i="20"/>
  <c r="E293" i="20"/>
  <c r="D293" i="20"/>
  <c r="G292" i="20"/>
  <c r="F292" i="20"/>
  <c r="E292" i="20"/>
  <c r="D292" i="20"/>
  <c r="G291" i="20"/>
  <c r="F291" i="20"/>
  <c r="E291" i="20"/>
  <c r="D291" i="20"/>
  <c r="G290" i="20"/>
  <c r="F290" i="20"/>
  <c r="E290" i="20"/>
  <c r="D290" i="20"/>
  <c r="G289" i="20"/>
  <c r="F289" i="20"/>
  <c r="E289" i="20"/>
  <c r="D289" i="20"/>
  <c r="G288" i="20"/>
  <c r="F288" i="20"/>
  <c r="E288" i="20"/>
  <c r="D288" i="20"/>
  <c r="E287" i="20"/>
  <c r="D287" i="20"/>
  <c r="E285" i="20"/>
  <c r="D285" i="20"/>
  <c r="E284" i="20"/>
  <c r="D284" i="20"/>
  <c r="E283" i="20"/>
  <c r="D283" i="20"/>
  <c r="E282" i="20"/>
  <c r="E281" i="20"/>
  <c r="D282" i="20"/>
  <c r="D281" i="20"/>
  <c r="E280" i="20"/>
  <c r="D280" i="20"/>
  <c r="E279" i="20"/>
  <c r="D279" i="20"/>
  <c r="E278" i="20"/>
  <c r="D278" i="20"/>
  <c r="E277" i="20"/>
  <c r="D277" i="20"/>
  <c r="E276" i="20"/>
  <c r="D276" i="20"/>
  <c r="E275" i="20"/>
  <c r="D275" i="20"/>
  <c r="E274" i="20"/>
  <c r="D274" i="20"/>
  <c r="E273" i="20"/>
  <c r="D273" i="20"/>
  <c r="K272" i="20"/>
  <c r="J272" i="20"/>
  <c r="H272" i="20"/>
  <c r="G272" i="20"/>
  <c r="F272" i="20"/>
  <c r="E272" i="20"/>
  <c r="D272" i="20"/>
  <c r="E271" i="20"/>
  <c r="D271" i="20"/>
  <c r="E270" i="20"/>
  <c r="D270" i="20"/>
  <c r="O189" i="10"/>
  <c r="M269" i="20" s="1"/>
  <c r="E269" i="20"/>
  <c r="E268" i="20"/>
  <c r="D269" i="20"/>
  <c r="D268" i="20"/>
  <c r="E267" i="20"/>
  <c r="D267" i="20"/>
  <c r="E266" i="20"/>
  <c r="D266" i="20"/>
  <c r="E265" i="20"/>
  <c r="D265" i="20"/>
  <c r="E264" i="20"/>
  <c r="D264" i="20"/>
  <c r="E263" i="20"/>
  <c r="D263" i="20"/>
  <c r="E262" i="20"/>
  <c r="D262" i="20"/>
  <c r="E261" i="20"/>
  <c r="D261" i="20"/>
  <c r="E260" i="20"/>
  <c r="D260" i="20"/>
  <c r="H256" i="20"/>
  <c r="H259" i="20"/>
  <c r="H448" i="20" s="1"/>
  <c r="H500" i="20" s="1"/>
  <c r="E259" i="20"/>
  <c r="D259" i="20"/>
  <c r="H255" i="20"/>
  <c r="H258" i="20"/>
  <c r="E258" i="20"/>
  <c r="D258" i="20"/>
  <c r="H252" i="20"/>
  <c r="H257" i="20"/>
  <c r="E257" i="20"/>
  <c r="D257" i="20"/>
  <c r="G256" i="20"/>
  <c r="F256" i="20"/>
  <c r="G255" i="20"/>
  <c r="F255" i="20"/>
  <c r="G254" i="20"/>
  <c r="G442" i="20" s="1"/>
  <c r="G494" i="20" s="1"/>
  <c r="F254" i="20"/>
  <c r="F442" i="20" s="1"/>
  <c r="F494" i="20" s="1"/>
  <c r="G253" i="20"/>
  <c r="F253" i="20"/>
  <c r="G252" i="20"/>
  <c r="F252" i="20"/>
  <c r="E256" i="20"/>
  <c r="D256" i="20"/>
  <c r="E255" i="20"/>
  <c r="D255" i="20"/>
  <c r="E254" i="20"/>
  <c r="D254" i="20"/>
  <c r="E253" i="20"/>
  <c r="D253" i="20"/>
  <c r="E252" i="20"/>
  <c r="D252" i="20"/>
  <c r="E250" i="20"/>
  <c r="D250" i="20"/>
  <c r="E249" i="20"/>
  <c r="D249" i="20"/>
  <c r="E248" i="20"/>
  <c r="D248" i="20"/>
  <c r="E247" i="20"/>
  <c r="D247" i="20"/>
  <c r="E246" i="20"/>
  <c r="D246" i="20"/>
  <c r="E245" i="20"/>
  <c r="D245" i="20"/>
  <c r="E244" i="20"/>
  <c r="D244" i="20"/>
  <c r="E243" i="20"/>
  <c r="D243" i="20"/>
  <c r="E242" i="20"/>
  <c r="D242" i="20"/>
  <c r="E241" i="20"/>
  <c r="D241" i="20"/>
  <c r="E240" i="20"/>
  <c r="D240" i="20"/>
  <c r="E239" i="20"/>
  <c r="D239" i="20"/>
  <c r="E238" i="20"/>
  <c r="D238" i="20"/>
  <c r="K237" i="20"/>
  <c r="J237" i="20"/>
  <c r="K236" i="20"/>
  <c r="J236" i="20"/>
  <c r="K235" i="20"/>
  <c r="J235" i="20"/>
  <c r="K234" i="20"/>
  <c r="J234" i="20"/>
  <c r="E237" i="20"/>
  <c r="D237" i="20"/>
  <c r="E236" i="20"/>
  <c r="D236" i="20"/>
  <c r="E235" i="20"/>
  <c r="D235" i="20"/>
  <c r="E234" i="20"/>
  <c r="D234" i="20"/>
  <c r="E233" i="20"/>
  <c r="D233" i="20"/>
  <c r="E232" i="20"/>
  <c r="D232" i="20"/>
  <c r="E231" i="20"/>
  <c r="D231" i="20"/>
  <c r="E230" i="20"/>
  <c r="E229" i="20"/>
  <c r="D230" i="20"/>
  <c r="D229" i="20"/>
  <c r="E228" i="20"/>
  <c r="D228" i="20"/>
  <c r="E227" i="20"/>
  <c r="D227" i="20"/>
  <c r="E226" i="20"/>
  <c r="D226" i="20"/>
  <c r="E225" i="20"/>
  <c r="D225" i="20"/>
  <c r="E224" i="20"/>
  <c r="D224" i="20"/>
  <c r="E223" i="20"/>
  <c r="D223" i="20"/>
  <c r="E222" i="20"/>
  <c r="D222" i="20"/>
  <c r="E221" i="20"/>
  <c r="D221" i="20"/>
  <c r="E219" i="20"/>
  <c r="D219" i="20"/>
  <c r="E218" i="20"/>
  <c r="D218" i="20"/>
  <c r="E216" i="20"/>
  <c r="E215" i="20"/>
  <c r="D216" i="20"/>
  <c r="D215" i="20"/>
  <c r="E214" i="20"/>
  <c r="D214" i="20"/>
  <c r="J173" i="7"/>
  <c r="H209" i="20" s="1"/>
  <c r="J171" i="7"/>
  <c r="H207" i="20" s="1"/>
  <c r="E213" i="20"/>
  <c r="E212" i="20"/>
  <c r="E211" i="20"/>
  <c r="E210" i="20"/>
  <c r="E209" i="20"/>
  <c r="E208" i="20"/>
  <c r="E207" i="20"/>
  <c r="D213" i="20"/>
  <c r="D212" i="20"/>
  <c r="D211" i="20"/>
  <c r="D210" i="20"/>
  <c r="D209" i="20"/>
  <c r="D208" i="20"/>
  <c r="D207" i="20"/>
  <c r="K205" i="20"/>
  <c r="K201" i="20"/>
  <c r="K200" i="20"/>
  <c r="J205" i="20"/>
  <c r="J201" i="20"/>
  <c r="J200" i="20"/>
  <c r="H206" i="20"/>
  <c r="H205" i="20"/>
  <c r="H204" i="20"/>
  <c r="H203" i="20"/>
  <c r="H202" i="20"/>
  <c r="H201" i="20"/>
  <c r="H200" i="20"/>
  <c r="E206" i="20"/>
  <c r="E205" i="20"/>
  <c r="E204" i="20"/>
  <c r="E203" i="20"/>
  <c r="E202" i="20"/>
  <c r="E201" i="20"/>
  <c r="E200" i="20"/>
  <c r="D206" i="20"/>
  <c r="D205" i="20"/>
  <c r="D204" i="20"/>
  <c r="D203" i="20"/>
  <c r="D202" i="20"/>
  <c r="D201" i="20"/>
  <c r="D200" i="20"/>
  <c r="E199" i="20"/>
  <c r="D199" i="20"/>
  <c r="E196" i="20"/>
  <c r="E195" i="20"/>
  <c r="D196" i="20"/>
  <c r="D195" i="20"/>
  <c r="E194" i="20"/>
  <c r="D194" i="20"/>
  <c r="E193" i="20"/>
  <c r="E192" i="20"/>
  <c r="E191" i="20"/>
  <c r="E190" i="20"/>
  <c r="E189" i="20"/>
  <c r="E188" i="20"/>
  <c r="E187" i="20"/>
  <c r="D193" i="20"/>
  <c r="D192" i="20"/>
  <c r="D191" i="20"/>
  <c r="D190" i="20"/>
  <c r="D189" i="20"/>
  <c r="D188" i="20"/>
  <c r="D187" i="20"/>
  <c r="E185" i="20"/>
  <c r="D185" i="20"/>
  <c r="E184" i="20"/>
  <c r="D184" i="20"/>
  <c r="E183" i="20"/>
  <c r="D183" i="20"/>
  <c r="E182" i="20"/>
  <c r="D182" i="20"/>
  <c r="E181" i="20"/>
  <c r="D181" i="20"/>
  <c r="E180" i="20"/>
  <c r="D180" i="20"/>
  <c r="E179" i="20"/>
  <c r="D179" i="20"/>
  <c r="E178" i="20"/>
  <c r="D178" i="20"/>
  <c r="E177" i="20"/>
  <c r="D177" i="20"/>
  <c r="E176" i="20"/>
  <c r="D176" i="20"/>
  <c r="E175" i="20"/>
  <c r="D175" i="20"/>
  <c r="E174" i="20"/>
  <c r="D174" i="20"/>
  <c r="E173" i="20"/>
  <c r="D173" i="20"/>
  <c r="H172" i="20"/>
  <c r="H171" i="20"/>
  <c r="H170" i="20"/>
  <c r="H169" i="20"/>
  <c r="H168" i="20"/>
  <c r="H167" i="20"/>
  <c r="H166" i="20"/>
  <c r="E172" i="20"/>
  <c r="D172" i="20"/>
  <c r="E171" i="20"/>
  <c r="D171" i="20"/>
  <c r="E170" i="20"/>
  <c r="D170" i="20"/>
  <c r="E169" i="20"/>
  <c r="D169" i="20"/>
  <c r="E168" i="20"/>
  <c r="D168" i="20"/>
  <c r="E167" i="20"/>
  <c r="D167" i="20"/>
  <c r="E166" i="20"/>
  <c r="D166" i="20"/>
  <c r="E165" i="20"/>
  <c r="D165" i="20"/>
  <c r="E164" i="20"/>
  <c r="D164" i="20"/>
  <c r="E163" i="20"/>
  <c r="D163" i="20"/>
  <c r="E162" i="20"/>
  <c r="D162" i="20"/>
  <c r="E161" i="20"/>
  <c r="D161" i="20"/>
  <c r="E160" i="20"/>
  <c r="D160" i="20"/>
  <c r="E159" i="20"/>
  <c r="D159" i="20"/>
  <c r="E158" i="20"/>
  <c r="D158" i="20"/>
  <c r="E157" i="20"/>
  <c r="D157" i="20"/>
  <c r="E156" i="20"/>
  <c r="D156" i="20"/>
  <c r="E155" i="20"/>
  <c r="D155" i="20"/>
  <c r="E154" i="20"/>
  <c r="D154" i="20"/>
  <c r="E153" i="20"/>
  <c r="D153" i="20"/>
  <c r="E152" i="20"/>
  <c r="D152" i="20"/>
  <c r="E151" i="20"/>
  <c r="D151" i="20"/>
  <c r="E150" i="20"/>
  <c r="D150" i="20"/>
  <c r="E149" i="20"/>
  <c r="D149" i="20"/>
  <c r="E148" i="20"/>
  <c r="D148" i="20"/>
  <c r="E147" i="20"/>
  <c r="D147" i="20"/>
  <c r="E146" i="20"/>
  <c r="D146" i="20"/>
  <c r="E145" i="20"/>
  <c r="D145" i="20"/>
  <c r="E144" i="20"/>
  <c r="D144" i="20"/>
  <c r="E143" i="20"/>
  <c r="D143" i="20"/>
  <c r="E142" i="20"/>
  <c r="D142" i="20"/>
  <c r="E141" i="20"/>
  <c r="D141" i="20"/>
  <c r="E130" i="20"/>
  <c r="D130" i="20"/>
  <c r="E129" i="20"/>
  <c r="D129" i="20"/>
  <c r="E128" i="20"/>
  <c r="D128" i="20"/>
  <c r="E127" i="20"/>
  <c r="D127" i="20"/>
  <c r="E126" i="20"/>
  <c r="D126" i="20"/>
  <c r="E125" i="20"/>
  <c r="D125" i="20"/>
  <c r="E124" i="20"/>
  <c r="D124" i="20"/>
  <c r="E123" i="20"/>
  <c r="D123" i="20"/>
  <c r="E122" i="20"/>
  <c r="D122" i="20"/>
  <c r="E121" i="20"/>
  <c r="D121" i="20"/>
  <c r="E119" i="20"/>
  <c r="D119" i="20"/>
  <c r="K140" i="20"/>
  <c r="K443" i="20" s="1"/>
  <c r="J140" i="20"/>
  <c r="J443" i="20" s="1"/>
  <c r="K139" i="20"/>
  <c r="J139" i="20"/>
  <c r="K138" i="20"/>
  <c r="J138" i="20"/>
  <c r="K137" i="20"/>
  <c r="J137" i="20"/>
  <c r="K136" i="20"/>
  <c r="J136" i="20"/>
  <c r="K135" i="20"/>
  <c r="J135" i="20"/>
  <c r="K134" i="20"/>
  <c r="J134" i="20"/>
  <c r="E140" i="20"/>
  <c r="D140" i="20"/>
  <c r="E139" i="20"/>
  <c r="D139" i="20"/>
  <c r="E138" i="20"/>
  <c r="D138" i="20"/>
  <c r="E137" i="20"/>
  <c r="D137" i="20"/>
  <c r="E136" i="20"/>
  <c r="D136" i="20"/>
  <c r="E135" i="20"/>
  <c r="D135" i="20"/>
  <c r="E134" i="20"/>
  <c r="D134" i="20"/>
  <c r="E133" i="20"/>
  <c r="D133" i="20"/>
  <c r="E120" i="20"/>
  <c r="D120" i="20"/>
  <c r="E132" i="20"/>
  <c r="D132" i="20"/>
  <c r="E131" i="20"/>
  <c r="D131" i="20"/>
  <c r="E118" i="20"/>
  <c r="D118" i="20"/>
  <c r="E117" i="20"/>
  <c r="D117" i="20"/>
  <c r="E116" i="20"/>
  <c r="D116" i="20"/>
  <c r="E115" i="20"/>
  <c r="D115" i="20"/>
  <c r="E114" i="20"/>
  <c r="D114" i="20"/>
  <c r="E113" i="20"/>
  <c r="D113" i="20"/>
  <c r="E112" i="20"/>
  <c r="D112" i="20"/>
  <c r="E111" i="20"/>
  <c r="D111" i="20"/>
  <c r="E110" i="20"/>
  <c r="D110" i="20"/>
  <c r="E109" i="20"/>
  <c r="D109" i="20"/>
  <c r="L107" i="20"/>
  <c r="L100" i="20"/>
  <c r="L101" i="20"/>
  <c r="L99" i="20"/>
  <c r="K108" i="20"/>
  <c r="J108" i="20"/>
  <c r="K107" i="20"/>
  <c r="J107" i="20"/>
  <c r="K106" i="20"/>
  <c r="J106" i="20"/>
  <c r="K105" i="20"/>
  <c r="J105" i="20"/>
  <c r="K104" i="20"/>
  <c r="J104" i="20"/>
  <c r="K103" i="20"/>
  <c r="J103" i="20"/>
  <c r="K102" i="20"/>
  <c r="J102" i="20"/>
  <c r="K101" i="20"/>
  <c r="J101" i="20"/>
  <c r="K100" i="20"/>
  <c r="J100" i="20"/>
  <c r="K99" i="20"/>
  <c r="J99" i="20"/>
  <c r="E108" i="20"/>
  <c r="D108" i="20"/>
  <c r="E107" i="20"/>
  <c r="D107" i="20"/>
  <c r="E106" i="20"/>
  <c r="D106" i="20"/>
  <c r="E105" i="20"/>
  <c r="D105" i="20"/>
  <c r="E104" i="20"/>
  <c r="D104" i="20"/>
  <c r="E103" i="20"/>
  <c r="D103" i="20"/>
  <c r="E102" i="20"/>
  <c r="D102" i="20"/>
  <c r="E101" i="20"/>
  <c r="D101" i="20"/>
  <c r="E100" i="20"/>
  <c r="D100" i="20"/>
  <c r="E99" i="20"/>
  <c r="D99" i="20"/>
  <c r="E98" i="20"/>
  <c r="D98" i="20"/>
  <c r="E97" i="20"/>
  <c r="D97" i="20"/>
  <c r="E96" i="20"/>
  <c r="D96" i="20"/>
  <c r="E95" i="20"/>
  <c r="D95" i="20"/>
  <c r="E94" i="20"/>
  <c r="D94" i="20"/>
  <c r="E93" i="20"/>
  <c r="D93" i="20"/>
  <c r="E92" i="20"/>
  <c r="D92" i="20"/>
  <c r="E91" i="20"/>
  <c r="D91" i="20"/>
  <c r="E90" i="20"/>
  <c r="D90" i="20"/>
  <c r="E89" i="20"/>
  <c r="D89" i="20"/>
  <c r="E88" i="20"/>
  <c r="D88" i="20"/>
  <c r="E87" i="20"/>
  <c r="D87" i="20"/>
  <c r="L85" i="20"/>
  <c r="L84" i="20"/>
  <c r="N463" i="6"/>
  <c r="N464" i="6"/>
  <c r="M464" i="6"/>
  <c r="M463" i="6"/>
  <c r="P464" i="6"/>
  <c r="E86" i="20"/>
  <c r="D86" i="20"/>
  <c r="E85" i="20"/>
  <c r="D85" i="20"/>
  <c r="E84" i="20"/>
  <c r="D84" i="20"/>
  <c r="E83" i="20"/>
  <c r="D83" i="20"/>
  <c r="E82" i="20"/>
  <c r="D82" i="20"/>
  <c r="E81" i="20"/>
  <c r="D81" i="20"/>
  <c r="E80" i="20"/>
  <c r="D80" i="20"/>
  <c r="E79" i="20"/>
  <c r="D79" i="20"/>
  <c r="E78" i="20"/>
  <c r="D78" i="20"/>
  <c r="E77" i="20"/>
  <c r="D77" i="20"/>
  <c r="E76" i="20"/>
  <c r="D76" i="20"/>
  <c r="E75" i="20"/>
  <c r="D75" i="20"/>
  <c r="E74" i="20"/>
  <c r="D74" i="20"/>
  <c r="E73" i="20"/>
  <c r="D73" i="20"/>
  <c r="E72" i="20"/>
  <c r="D72" i="20"/>
  <c r="E71" i="20"/>
  <c r="D71" i="20"/>
  <c r="E70" i="20"/>
  <c r="D70" i="20"/>
  <c r="E69" i="20"/>
  <c r="D69" i="20"/>
  <c r="E68" i="20"/>
  <c r="D68" i="20"/>
  <c r="E67" i="20"/>
  <c r="D67" i="20"/>
  <c r="E66" i="20"/>
  <c r="D66" i="20"/>
  <c r="E65" i="20"/>
  <c r="D65" i="20"/>
  <c r="E64" i="20"/>
  <c r="D64" i="20"/>
  <c r="E63" i="20"/>
  <c r="D63" i="20"/>
  <c r="E62" i="20"/>
  <c r="D62" i="20"/>
  <c r="E61" i="20"/>
  <c r="D61" i="20"/>
  <c r="E60" i="20"/>
  <c r="D60" i="20"/>
  <c r="E59" i="20"/>
  <c r="D59" i="20"/>
  <c r="E58" i="20"/>
  <c r="D58" i="20"/>
  <c r="E57" i="20"/>
  <c r="D57" i="20"/>
  <c r="E56" i="20"/>
  <c r="D56" i="20"/>
  <c r="E55" i="20"/>
  <c r="D55" i="20"/>
  <c r="E54" i="20"/>
  <c r="D54" i="20"/>
  <c r="E53" i="20"/>
  <c r="D53" i="20"/>
  <c r="E52" i="20"/>
  <c r="D52" i="20"/>
  <c r="E51" i="20"/>
  <c r="D51" i="20"/>
  <c r="E50" i="20"/>
  <c r="D50" i="20"/>
  <c r="E49" i="20"/>
  <c r="D49" i="20"/>
  <c r="E48" i="20"/>
  <c r="D48" i="20"/>
  <c r="E47" i="20"/>
  <c r="D47" i="20"/>
  <c r="E46" i="20"/>
  <c r="D46" i="20"/>
  <c r="E45" i="20"/>
  <c r="D45" i="20"/>
  <c r="E44" i="20"/>
  <c r="D44" i="20"/>
  <c r="E43" i="20"/>
  <c r="D43" i="20"/>
  <c r="E42" i="20"/>
  <c r="D42" i="20"/>
  <c r="E25" i="20"/>
  <c r="D25" i="20"/>
  <c r="E24" i="20"/>
  <c r="D24" i="20"/>
  <c r="E23" i="20"/>
  <c r="D23" i="20"/>
  <c r="E22" i="20"/>
  <c r="D22" i="20"/>
  <c r="E21" i="20"/>
  <c r="D21" i="20"/>
  <c r="E20" i="20"/>
  <c r="D20" i="20"/>
  <c r="E19" i="20"/>
  <c r="D19" i="20"/>
  <c r="E18" i="20"/>
  <c r="D18" i="20"/>
  <c r="E17" i="20"/>
  <c r="D17" i="20"/>
  <c r="E16" i="20"/>
  <c r="D16" i="20"/>
  <c r="E15" i="20"/>
  <c r="D15" i="20"/>
  <c r="E14" i="20"/>
  <c r="D14" i="20"/>
  <c r="E13" i="20"/>
  <c r="D13" i="20"/>
  <c r="E12" i="20"/>
  <c r="D12" i="20"/>
  <c r="E11" i="20"/>
  <c r="D11" i="20"/>
  <c r="E10" i="20"/>
  <c r="D10" i="20"/>
  <c r="E7" i="20"/>
  <c r="D7" i="20"/>
  <c r="E6" i="20"/>
  <c r="D6" i="20"/>
  <c r="E5" i="20"/>
  <c r="D5" i="20"/>
  <c r="AG744" i="15"/>
  <c r="AH593" i="15"/>
  <c r="AH394" i="15"/>
  <c r="AH189" i="15"/>
  <c r="K442" i="20" l="1"/>
  <c r="H443" i="20"/>
  <c r="H495" i="20" s="1"/>
  <c r="I443" i="20"/>
  <c r="I495" i="20" s="1"/>
  <c r="I442" i="20"/>
  <c r="I494" i="20" s="1"/>
  <c r="I447" i="20"/>
  <c r="I499" i="20" s="1"/>
  <c r="I437" i="20"/>
  <c r="I489" i="20" s="1"/>
  <c r="I445" i="20"/>
  <c r="I497" i="20" s="1"/>
  <c r="K495" i="20"/>
  <c r="K494" i="20"/>
  <c r="J495" i="20"/>
  <c r="H442" i="20"/>
  <c r="H494" i="20" s="1"/>
  <c r="I438" i="20"/>
  <c r="I490" i="20" s="1"/>
  <c r="J442" i="20"/>
  <c r="I444" i="20"/>
  <c r="I496" i="20" s="1"/>
  <c r="I450" i="20"/>
  <c r="I503" i="20" s="1"/>
  <c r="I449" i="20"/>
  <c r="I502" i="20" s="1"/>
  <c r="H469" i="20"/>
  <c r="I469" i="20"/>
  <c r="F469" i="20"/>
  <c r="J469" i="20"/>
  <c r="G467" i="20"/>
  <c r="J494" i="20" l="1"/>
  <c r="G469" i="20"/>
  <c r="I28" i="5"/>
  <c r="G250" i="20" s="1"/>
  <c r="Y744" i="15" l="1"/>
  <c r="X744" i="15"/>
  <c r="W744" i="15"/>
  <c r="V744" i="15"/>
  <c r="AB744" i="15" s="1"/>
  <c r="U744" i="15"/>
  <c r="AA744" i="15" s="1"/>
  <c r="T744" i="15"/>
  <c r="Z744" i="15" s="1"/>
  <c r="Y743" i="15"/>
  <c r="X743" i="15"/>
  <c r="W743" i="15"/>
  <c r="V743" i="15"/>
  <c r="AB743" i="15" s="1"/>
  <c r="U743" i="15"/>
  <c r="AA743" i="15" s="1"/>
  <c r="T743" i="15"/>
  <c r="Z743" i="15" s="1"/>
  <c r="Y742" i="15"/>
  <c r="X742" i="15"/>
  <c r="W742" i="15"/>
  <c r="V742" i="15"/>
  <c r="AB742" i="15" s="1"/>
  <c r="U742" i="15"/>
  <c r="AA742" i="15" s="1"/>
  <c r="T742" i="15"/>
  <c r="Z742" i="15" s="1"/>
  <c r="Y741" i="15"/>
  <c r="X741" i="15"/>
  <c r="W741" i="15"/>
  <c r="V741" i="15"/>
  <c r="AB741" i="15" s="1"/>
  <c r="U741" i="15"/>
  <c r="AA741" i="15" s="1"/>
  <c r="T741" i="15"/>
  <c r="Z741" i="15" s="1"/>
  <c r="Y739" i="15"/>
  <c r="X739" i="15"/>
  <c r="W739" i="15"/>
  <c r="V739" i="15"/>
  <c r="AB739" i="15" s="1"/>
  <c r="U739" i="15"/>
  <c r="AA739" i="15" s="1"/>
  <c r="T739" i="15"/>
  <c r="Z739" i="15" s="1"/>
  <c r="Y738" i="15"/>
  <c r="X738" i="15"/>
  <c r="AE738" i="15" s="1"/>
  <c r="W738" i="15"/>
  <c r="Y737" i="15"/>
  <c r="X737" i="15"/>
  <c r="AE737" i="15" s="1"/>
  <c r="W737" i="15"/>
  <c r="Y736" i="15"/>
  <c r="X736" i="15"/>
  <c r="AE736" i="15" s="1"/>
  <c r="W736" i="15"/>
  <c r="Y735" i="15"/>
  <c r="X735" i="15"/>
  <c r="AE735" i="15" s="1"/>
  <c r="W735" i="15"/>
  <c r="Y733" i="15"/>
  <c r="X733" i="15"/>
  <c r="AE733" i="15" s="1"/>
  <c r="W733" i="15"/>
  <c r="O733" i="15"/>
  <c r="K733" i="15"/>
  <c r="I733" i="15" s="1"/>
  <c r="T737" i="15" s="1"/>
  <c r="Y732" i="15"/>
  <c r="X732" i="15"/>
  <c r="AE732" i="15" s="1"/>
  <c r="W732" i="15"/>
  <c r="Y731" i="15"/>
  <c r="X731" i="15"/>
  <c r="AE731" i="15" s="1"/>
  <c r="W731" i="15"/>
  <c r="Y730" i="15"/>
  <c r="X730" i="15"/>
  <c r="AE730" i="15" s="1"/>
  <c r="W730" i="15"/>
  <c r="Y729" i="15"/>
  <c r="X729" i="15"/>
  <c r="AE729" i="15" s="1"/>
  <c r="W729" i="15"/>
  <c r="Y727" i="15"/>
  <c r="X727" i="15"/>
  <c r="AE728" i="15" s="1"/>
  <c r="W727" i="15"/>
  <c r="O727" i="15"/>
  <c r="K727" i="15"/>
  <c r="I727" i="15" s="1"/>
  <c r="Y726" i="15"/>
  <c r="X726" i="15"/>
  <c r="AE726" i="15" s="1"/>
  <c r="W726" i="15"/>
  <c r="Y725" i="15"/>
  <c r="X725" i="15"/>
  <c r="AE725" i="15" s="1"/>
  <c r="W725" i="15"/>
  <c r="Y724" i="15"/>
  <c r="X724" i="15"/>
  <c r="AE724" i="15" s="1"/>
  <c r="W724" i="15"/>
  <c r="Y723" i="15"/>
  <c r="X723" i="15"/>
  <c r="AE723" i="15" s="1"/>
  <c r="W723" i="15"/>
  <c r="Y721" i="15"/>
  <c r="X721" i="15"/>
  <c r="AE721" i="15" s="1"/>
  <c r="W721" i="15"/>
  <c r="O721" i="15"/>
  <c r="K721" i="15"/>
  <c r="I721" i="15" s="1"/>
  <c r="Y720" i="15"/>
  <c r="X720" i="15"/>
  <c r="AE720" i="15" s="1"/>
  <c r="W720" i="15"/>
  <c r="Y719" i="15"/>
  <c r="X719" i="15"/>
  <c r="AE719" i="15" s="1"/>
  <c r="W719" i="15"/>
  <c r="Y718" i="15"/>
  <c r="X718" i="15"/>
  <c r="AE718" i="15" s="1"/>
  <c r="W718" i="15"/>
  <c r="Y717" i="15"/>
  <c r="X717" i="15"/>
  <c r="AE717" i="15" s="1"/>
  <c r="W717" i="15"/>
  <c r="Y715" i="15"/>
  <c r="X715" i="15"/>
  <c r="AE715" i="15" s="1"/>
  <c r="W715" i="15"/>
  <c r="O715" i="15"/>
  <c r="K715" i="15"/>
  <c r="I715" i="15" s="1"/>
  <c r="U718" i="15" s="1"/>
  <c r="Y714" i="15"/>
  <c r="X714" i="15"/>
  <c r="AE714" i="15" s="1"/>
  <c r="W714" i="15"/>
  <c r="Y713" i="15"/>
  <c r="X713" i="15"/>
  <c r="AE713" i="15" s="1"/>
  <c r="W713" i="15"/>
  <c r="Y712" i="15"/>
  <c r="X712" i="15"/>
  <c r="AE712" i="15" s="1"/>
  <c r="W712" i="15"/>
  <c r="Y711" i="15"/>
  <c r="X711" i="15"/>
  <c r="AE711" i="15" s="1"/>
  <c r="W711" i="15"/>
  <c r="Y709" i="15"/>
  <c r="X709" i="15"/>
  <c r="AE709" i="15" s="1"/>
  <c r="W709" i="15"/>
  <c r="O709" i="15"/>
  <c r="K709" i="15"/>
  <c r="I709" i="15" s="1"/>
  <c r="T711" i="15" s="1"/>
  <c r="Y708" i="15"/>
  <c r="X708" i="15"/>
  <c r="AE708" i="15" s="1"/>
  <c r="W708" i="15"/>
  <c r="Y707" i="15"/>
  <c r="X707" i="15"/>
  <c r="AE707" i="15" s="1"/>
  <c r="W707" i="15"/>
  <c r="Y706" i="15"/>
  <c r="X706" i="15"/>
  <c r="AE706" i="15" s="1"/>
  <c r="W706" i="15"/>
  <c r="Y705" i="15"/>
  <c r="X705" i="15"/>
  <c r="AE705" i="15" s="1"/>
  <c r="W705" i="15"/>
  <c r="Y703" i="15"/>
  <c r="X703" i="15"/>
  <c r="AE704" i="15" s="1"/>
  <c r="W703" i="15"/>
  <c r="O703" i="15"/>
  <c r="K703" i="15"/>
  <c r="I703" i="15" s="1"/>
  <c r="U706" i="15" s="1"/>
  <c r="Y702" i="15"/>
  <c r="X702" i="15"/>
  <c r="AE702" i="15" s="1"/>
  <c r="W702" i="15"/>
  <c r="Y701" i="15"/>
  <c r="X701" i="15"/>
  <c r="AE701" i="15" s="1"/>
  <c r="W701" i="15"/>
  <c r="Y700" i="15"/>
  <c r="X700" i="15"/>
  <c r="AE700" i="15" s="1"/>
  <c r="W700" i="15"/>
  <c r="Y699" i="15"/>
  <c r="X699" i="15"/>
  <c r="AE699" i="15" s="1"/>
  <c r="W699" i="15"/>
  <c r="Y697" i="15"/>
  <c r="X697" i="15"/>
  <c r="AE697" i="15" s="1"/>
  <c r="W697" i="15"/>
  <c r="O697" i="15"/>
  <c r="K697" i="15"/>
  <c r="I697" i="15" s="1"/>
  <c r="T699" i="15" s="1"/>
  <c r="Y696" i="15"/>
  <c r="X696" i="15"/>
  <c r="AE696" i="15" s="1"/>
  <c r="W696" i="15"/>
  <c r="Y695" i="15"/>
  <c r="X695" i="15"/>
  <c r="AE695" i="15" s="1"/>
  <c r="W695" i="15"/>
  <c r="Y694" i="15"/>
  <c r="X694" i="15"/>
  <c r="AE694" i="15" s="1"/>
  <c r="W694" i="15"/>
  <c r="Y693" i="15"/>
  <c r="X693" i="15"/>
  <c r="AE693" i="15" s="1"/>
  <c r="W693" i="15"/>
  <c r="Y691" i="15"/>
  <c r="X691" i="15"/>
  <c r="AE692" i="15" s="1"/>
  <c r="W691" i="15"/>
  <c r="O691" i="15"/>
  <c r="K691" i="15"/>
  <c r="I691" i="15" s="1"/>
  <c r="Y690" i="15"/>
  <c r="X690" i="15"/>
  <c r="AE690" i="15" s="1"/>
  <c r="W690" i="15"/>
  <c r="Y689" i="15"/>
  <c r="X689" i="15"/>
  <c r="AE689" i="15" s="1"/>
  <c r="W689" i="15"/>
  <c r="Y688" i="15"/>
  <c r="X688" i="15"/>
  <c r="AE688" i="15" s="1"/>
  <c r="W688" i="15"/>
  <c r="Y687" i="15"/>
  <c r="X687" i="15"/>
  <c r="AE687" i="15" s="1"/>
  <c r="W687" i="15"/>
  <c r="Y685" i="15"/>
  <c r="X685" i="15"/>
  <c r="W685" i="15"/>
  <c r="O685" i="15"/>
  <c r="K685" i="15"/>
  <c r="I685" i="15" s="1"/>
  <c r="Y684" i="15"/>
  <c r="X684" i="15"/>
  <c r="AE684" i="15" s="1"/>
  <c r="W684" i="15"/>
  <c r="Y683" i="15"/>
  <c r="X683" i="15"/>
  <c r="AE683" i="15" s="1"/>
  <c r="W683" i="15"/>
  <c r="Y682" i="15"/>
  <c r="X682" i="15"/>
  <c r="AE682" i="15" s="1"/>
  <c r="W682" i="15"/>
  <c r="Y681" i="15"/>
  <c r="X681" i="15"/>
  <c r="AE681" i="15" s="1"/>
  <c r="W681" i="15"/>
  <c r="Y679" i="15"/>
  <c r="X679" i="15"/>
  <c r="AE679" i="15" s="1"/>
  <c r="W679" i="15"/>
  <c r="O679" i="15"/>
  <c r="K679" i="15"/>
  <c r="I679" i="15" s="1"/>
  <c r="U682" i="15" s="1"/>
  <c r="Y678" i="15"/>
  <c r="X678" i="15"/>
  <c r="AE678" i="15" s="1"/>
  <c r="W678" i="15"/>
  <c r="Y677" i="15"/>
  <c r="X677" i="15"/>
  <c r="AE677" i="15" s="1"/>
  <c r="W677" i="15"/>
  <c r="Y676" i="15"/>
  <c r="X676" i="15"/>
  <c r="AE676" i="15" s="1"/>
  <c r="W676" i="15"/>
  <c r="Y675" i="15"/>
  <c r="X675" i="15"/>
  <c r="AE675" i="15" s="1"/>
  <c r="W675" i="15"/>
  <c r="Y673" i="15"/>
  <c r="X673" i="15"/>
  <c r="AE674" i="15" s="1"/>
  <c r="W673" i="15"/>
  <c r="O673" i="15"/>
  <c r="K673" i="15"/>
  <c r="I673" i="15" s="1"/>
  <c r="Y672" i="15"/>
  <c r="X672" i="15"/>
  <c r="AE672" i="15" s="1"/>
  <c r="W672" i="15"/>
  <c r="Y671" i="15"/>
  <c r="X671" i="15"/>
  <c r="AE671" i="15" s="1"/>
  <c r="W671" i="15"/>
  <c r="Y670" i="15"/>
  <c r="X670" i="15"/>
  <c r="AE670" i="15" s="1"/>
  <c r="W670" i="15"/>
  <c r="Y669" i="15"/>
  <c r="X669" i="15"/>
  <c r="AE669" i="15" s="1"/>
  <c r="W669" i="15"/>
  <c r="Y667" i="15"/>
  <c r="X667" i="15"/>
  <c r="AE667" i="15" s="1"/>
  <c r="W667" i="15"/>
  <c r="O667" i="15"/>
  <c r="K667" i="15"/>
  <c r="I667" i="15" s="1"/>
  <c r="U671" i="15" s="1"/>
  <c r="Y666" i="15"/>
  <c r="X666" i="15"/>
  <c r="AE666" i="15" s="1"/>
  <c r="W666" i="15"/>
  <c r="Y665" i="15"/>
  <c r="X665" i="15"/>
  <c r="AE665" i="15" s="1"/>
  <c r="W665" i="15"/>
  <c r="Y664" i="15"/>
  <c r="X664" i="15"/>
  <c r="AE664" i="15" s="1"/>
  <c r="W664" i="15"/>
  <c r="Y663" i="15"/>
  <c r="X663" i="15"/>
  <c r="AE663" i="15" s="1"/>
  <c r="W663" i="15"/>
  <c r="Y661" i="15"/>
  <c r="X661" i="15"/>
  <c r="AE662" i="15" s="1"/>
  <c r="W661" i="15"/>
  <c r="O661" i="15"/>
  <c r="K661" i="15"/>
  <c r="I661" i="15" s="1"/>
  <c r="T664" i="15" s="1"/>
  <c r="Y660" i="15"/>
  <c r="X660" i="15"/>
  <c r="AE660" i="15" s="1"/>
  <c r="W660" i="15"/>
  <c r="Y659" i="15"/>
  <c r="X659" i="15"/>
  <c r="AE659" i="15" s="1"/>
  <c r="W659" i="15"/>
  <c r="Y658" i="15"/>
  <c r="X658" i="15"/>
  <c r="AE658" i="15" s="1"/>
  <c r="W658" i="15"/>
  <c r="Y657" i="15"/>
  <c r="X657" i="15"/>
  <c r="AE657" i="15" s="1"/>
  <c r="W657" i="15"/>
  <c r="Y655" i="15"/>
  <c r="X655" i="15"/>
  <c r="W655" i="15"/>
  <c r="O655" i="15"/>
  <c r="K655" i="15"/>
  <c r="I655" i="15" s="1"/>
  <c r="T657" i="15" s="1"/>
  <c r="Y654" i="15"/>
  <c r="X654" i="15"/>
  <c r="AE654" i="15" s="1"/>
  <c r="W654" i="15"/>
  <c r="Y653" i="15"/>
  <c r="X653" i="15"/>
  <c r="AE653" i="15" s="1"/>
  <c r="W653" i="15"/>
  <c r="Y652" i="15"/>
  <c r="X652" i="15"/>
  <c r="AE652" i="15" s="1"/>
  <c r="W652" i="15"/>
  <c r="Y651" i="15"/>
  <c r="X651" i="15"/>
  <c r="AE651" i="15" s="1"/>
  <c r="W651" i="15"/>
  <c r="Y649" i="15"/>
  <c r="X649" i="15"/>
  <c r="AE650" i="15" s="1"/>
  <c r="W649" i="15"/>
  <c r="O649" i="15"/>
  <c r="K649" i="15"/>
  <c r="I649" i="15" s="1"/>
  <c r="Y648" i="15"/>
  <c r="X648" i="15"/>
  <c r="AE648" i="15" s="1"/>
  <c r="W648" i="15"/>
  <c r="Y647" i="15"/>
  <c r="X647" i="15"/>
  <c r="AE647" i="15" s="1"/>
  <c r="W647" i="15"/>
  <c r="Y646" i="15"/>
  <c r="X646" i="15"/>
  <c r="AE646" i="15" s="1"/>
  <c r="W646" i="15"/>
  <c r="Y645" i="15"/>
  <c r="X645" i="15"/>
  <c r="AE645" i="15" s="1"/>
  <c r="W645" i="15"/>
  <c r="Y643" i="15"/>
  <c r="X643" i="15"/>
  <c r="AE644" i="15" s="1"/>
  <c r="W643" i="15"/>
  <c r="O643" i="15"/>
  <c r="K643" i="15"/>
  <c r="I643" i="15" s="1"/>
  <c r="U646" i="15" s="1"/>
  <c r="Y642" i="15"/>
  <c r="X642" i="15"/>
  <c r="AE642" i="15" s="1"/>
  <c r="W642" i="15"/>
  <c r="Y641" i="15"/>
  <c r="X641" i="15"/>
  <c r="AE641" i="15" s="1"/>
  <c r="W641" i="15"/>
  <c r="Y640" i="15"/>
  <c r="X640" i="15"/>
  <c r="AE640" i="15" s="1"/>
  <c r="W640" i="15"/>
  <c r="Y639" i="15"/>
  <c r="X639" i="15"/>
  <c r="AE639" i="15" s="1"/>
  <c r="W639" i="15"/>
  <c r="Y637" i="15"/>
  <c r="X637" i="15"/>
  <c r="AE638" i="15" s="1"/>
  <c r="W637" i="15"/>
  <c r="O637" i="15"/>
  <c r="K637" i="15"/>
  <c r="I637" i="15" s="1"/>
  <c r="V639" i="15" s="1"/>
  <c r="Y636" i="15"/>
  <c r="X636" i="15"/>
  <c r="AE636" i="15" s="1"/>
  <c r="W636" i="15"/>
  <c r="Y635" i="15"/>
  <c r="X635" i="15"/>
  <c r="AE635" i="15" s="1"/>
  <c r="W635" i="15"/>
  <c r="Y634" i="15"/>
  <c r="X634" i="15"/>
  <c r="AE634" i="15" s="1"/>
  <c r="W634" i="15"/>
  <c r="Y633" i="15"/>
  <c r="X633" i="15"/>
  <c r="AE633" i="15" s="1"/>
  <c r="W633" i="15"/>
  <c r="Y631" i="15"/>
  <c r="X631" i="15"/>
  <c r="AE631" i="15" s="1"/>
  <c r="W631" i="15"/>
  <c r="O631" i="15"/>
  <c r="K631" i="15"/>
  <c r="I631" i="15" s="1"/>
  <c r="Y630" i="15"/>
  <c r="X630" i="15"/>
  <c r="AE630" i="15" s="1"/>
  <c r="W630" i="15"/>
  <c r="Y629" i="15"/>
  <c r="X629" i="15"/>
  <c r="AE629" i="15" s="1"/>
  <c r="W629" i="15"/>
  <c r="Y628" i="15"/>
  <c r="X628" i="15"/>
  <c r="AE628" i="15" s="1"/>
  <c r="W628" i="15"/>
  <c r="Y627" i="15"/>
  <c r="X627" i="15"/>
  <c r="AE627" i="15" s="1"/>
  <c r="W627" i="15"/>
  <c r="Y625" i="15"/>
  <c r="X625" i="15"/>
  <c r="AE626" i="15" s="1"/>
  <c r="W625" i="15"/>
  <c r="O625" i="15"/>
  <c r="K625" i="15"/>
  <c r="I625" i="15" s="1"/>
  <c r="U630" i="15" s="1"/>
  <c r="Y624" i="15"/>
  <c r="X624" i="15"/>
  <c r="AE624" i="15" s="1"/>
  <c r="W624" i="15"/>
  <c r="Y623" i="15"/>
  <c r="X623" i="15"/>
  <c r="AE623" i="15" s="1"/>
  <c r="W623" i="15"/>
  <c r="Y622" i="15"/>
  <c r="X622" i="15"/>
  <c r="AE622" i="15" s="1"/>
  <c r="W622" i="15"/>
  <c r="Y621" i="15"/>
  <c r="X621" i="15"/>
  <c r="AE621" i="15" s="1"/>
  <c r="W621" i="15"/>
  <c r="Y619" i="15"/>
  <c r="X619" i="15"/>
  <c r="W619" i="15"/>
  <c r="O619" i="15"/>
  <c r="K619" i="15"/>
  <c r="I619" i="15" s="1"/>
  <c r="T624" i="15" s="1"/>
  <c r="Z624" i="15" s="1"/>
  <c r="Y618" i="15"/>
  <c r="X618" i="15"/>
  <c r="AE618" i="15" s="1"/>
  <c r="W618" i="15"/>
  <c r="Y617" i="15"/>
  <c r="X617" i="15"/>
  <c r="AE617" i="15" s="1"/>
  <c r="W617" i="15"/>
  <c r="Y616" i="15"/>
  <c r="X616" i="15"/>
  <c r="AE616" i="15" s="1"/>
  <c r="W616" i="15"/>
  <c r="Y615" i="15"/>
  <c r="X615" i="15"/>
  <c r="AE615" i="15" s="1"/>
  <c r="W615" i="15"/>
  <c r="Y613" i="15"/>
  <c r="X613" i="15"/>
  <c r="AE614" i="15" s="1"/>
  <c r="W613" i="15"/>
  <c r="O613" i="15"/>
  <c r="K613" i="15"/>
  <c r="I613" i="15" s="1"/>
  <c r="Y612" i="15"/>
  <c r="X612" i="15"/>
  <c r="AE612" i="15" s="1"/>
  <c r="W612" i="15"/>
  <c r="Y611" i="15"/>
  <c r="X611" i="15"/>
  <c r="AE611" i="15" s="1"/>
  <c r="W611" i="15"/>
  <c r="Y610" i="15"/>
  <c r="X610" i="15"/>
  <c r="AE610" i="15" s="1"/>
  <c r="W610" i="15"/>
  <c r="Y609" i="15"/>
  <c r="X609" i="15"/>
  <c r="AE609" i="15" s="1"/>
  <c r="W609" i="15"/>
  <c r="Y607" i="15"/>
  <c r="X607" i="15"/>
  <c r="AE608" i="15" s="1"/>
  <c r="W607" i="15"/>
  <c r="O607" i="15"/>
  <c r="K607" i="15"/>
  <c r="I607" i="15" s="1"/>
  <c r="U611" i="15" s="1"/>
  <c r="Y606" i="15"/>
  <c r="X606" i="15"/>
  <c r="AE606" i="15" s="1"/>
  <c r="W606" i="15"/>
  <c r="Y605" i="15"/>
  <c r="X605" i="15"/>
  <c r="AE605" i="15" s="1"/>
  <c r="W605" i="15"/>
  <c r="Y604" i="15"/>
  <c r="X604" i="15"/>
  <c r="AE604" i="15" s="1"/>
  <c r="W604" i="15"/>
  <c r="Y603" i="15"/>
  <c r="X603" i="15"/>
  <c r="AE603" i="15" s="1"/>
  <c r="W603" i="15"/>
  <c r="Y601" i="15"/>
  <c r="X601" i="15"/>
  <c r="AE601" i="15" s="1"/>
  <c r="W601" i="15"/>
  <c r="O601" i="15"/>
  <c r="K601" i="15"/>
  <c r="I601" i="15" s="1"/>
  <c r="Y600" i="15"/>
  <c r="X600" i="15"/>
  <c r="AE600" i="15" s="1"/>
  <c r="AE744" i="15" s="1"/>
  <c r="W600" i="15"/>
  <c r="Y599" i="15"/>
  <c r="X599" i="15"/>
  <c r="AE599" i="15" s="1"/>
  <c r="AE743" i="15" s="1"/>
  <c r="W599" i="15"/>
  <c r="Y598" i="15"/>
  <c r="X598" i="15"/>
  <c r="AE598" i="15" s="1"/>
  <c r="AE742" i="15" s="1"/>
  <c r="W598" i="15"/>
  <c r="Y597" i="15"/>
  <c r="X597" i="15"/>
  <c r="AE597" i="15" s="1"/>
  <c r="AE741" i="15" s="1"/>
  <c r="W597" i="15"/>
  <c r="Y595" i="15"/>
  <c r="X595" i="15"/>
  <c r="AE596" i="15" s="1"/>
  <c r="W595" i="15"/>
  <c r="O595" i="15"/>
  <c r="K595" i="15"/>
  <c r="I595" i="15" s="1"/>
  <c r="Y593" i="15"/>
  <c r="X593" i="15"/>
  <c r="W593" i="15"/>
  <c r="V593" i="15"/>
  <c r="AB593" i="15" s="1"/>
  <c r="U593" i="15"/>
  <c r="AA593" i="15" s="1"/>
  <c r="T593" i="15"/>
  <c r="Z593" i="15" s="1"/>
  <c r="Y592" i="15"/>
  <c r="X592" i="15"/>
  <c r="W592" i="15"/>
  <c r="V592" i="15"/>
  <c r="AB592" i="15" s="1"/>
  <c r="U592" i="15"/>
  <c r="AA592" i="15" s="1"/>
  <c r="T592" i="15"/>
  <c r="Z592" i="15" s="1"/>
  <c r="Y591" i="15"/>
  <c r="X591" i="15"/>
  <c r="W591" i="15"/>
  <c r="V591" i="15"/>
  <c r="AB591" i="15" s="1"/>
  <c r="U591" i="15"/>
  <c r="AA591" i="15" s="1"/>
  <c r="T591" i="15"/>
  <c r="Z591" i="15" s="1"/>
  <c r="Y590" i="15"/>
  <c r="X590" i="15"/>
  <c r="W590" i="15"/>
  <c r="V590" i="15"/>
  <c r="AB590" i="15" s="1"/>
  <c r="U590" i="15"/>
  <c r="AA590" i="15" s="1"/>
  <c r="T590" i="15"/>
  <c r="Z590" i="15" s="1"/>
  <c r="Y588" i="15"/>
  <c r="X588" i="15"/>
  <c r="W588" i="15"/>
  <c r="V588" i="15"/>
  <c r="AB588" i="15" s="1"/>
  <c r="U588" i="15"/>
  <c r="AA588" i="15" s="1"/>
  <c r="T588" i="15"/>
  <c r="Z588" i="15" s="1"/>
  <c r="Y587" i="15"/>
  <c r="X587" i="15"/>
  <c r="AE587" i="15" s="1"/>
  <c r="W587" i="15"/>
  <c r="Y586" i="15"/>
  <c r="X586" i="15"/>
  <c r="AE586" i="15" s="1"/>
  <c r="W586" i="15"/>
  <c r="Y585" i="15"/>
  <c r="X585" i="15"/>
  <c r="AE585" i="15" s="1"/>
  <c r="W585" i="15"/>
  <c r="Y584" i="15"/>
  <c r="X584" i="15"/>
  <c r="AE584" i="15" s="1"/>
  <c r="W584" i="15"/>
  <c r="Y582" i="15"/>
  <c r="X582" i="15"/>
  <c r="AE583" i="15" s="1"/>
  <c r="W582" i="15"/>
  <c r="O582" i="15"/>
  <c r="K582" i="15"/>
  <c r="I582" i="15" s="1"/>
  <c r="Y581" i="15"/>
  <c r="X581" i="15"/>
  <c r="AE581" i="15" s="1"/>
  <c r="W581" i="15"/>
  <c r="Y580" i="15"/>
  <c r="X580" i="15"/>
  <c r="AE580" i="15" s="1"/>
  <c r="W580" i="15"/>
  <c r="Y579" i="15"/>
  <c r="X579" i="15"/>
  <c r="AE579" i="15" s="1"/>
  <c r="W579" i="15"/>
  <c r="Y578" i="15"/>
  <c r="X578" i="15"/>
  <c r="AE578" i="15" s="1"/>
  <c r="W578" i="15"/>
  <c r="Y576" i="15"/>
  <c r="X576" i="15"/>
  <c r="AE577" i="15" s="1"/>
  <c r="W576" i="15"/>
  <c r="O576" i="15"/>
  <c r="K576" i="15"/>
  <c r="I576" i="15" s="1"/>
  <c r="Y575" i="15"/>
  <c r="X575" i="15"/>
  <c r="AE575" i="15" s="1"/>
  <c r="W575" i="15"/>
  <c r="Y574" i="15"/>
  <c r="X574" i="15"/>
  <c r="AE574" i="15" s="1"/>
  <c r="W574" i="15"/>
  <c r="Y573" i="15"/>
  <c r="X573" i="15"/>
  <c r="AE573" i="15" s="1"/>
  <c r="W573" i="15"/>
  <c r="Y572" i="15"/>
  <c r="X572" i="15"/>
  <c r="AE572" i="15" s="1"/>
  <c r="W572" i="15"/>
  <c r="Y570" i="15"/>
  <c r="X570" i="15"/>
  <c r="W570" i="15"/>
  <c r="O570" i="15"/>
  <c r="K570" i="15"/>
  <c r="I570" i="15" s="1"/>
  <c r="T574" i="15" s="1"/>
  <c r="Z574" i="15" s="1"/>
  <c r="Y569" i="15"/>
  <c r="X569" i="15"/>
  <c r="AE569" i="15" s="1"/>
  <c r="W569" i="15"/>
  <c r="Y568" i="15"/>
  <c r="X568" i="15"/>
  <c r="AE568" i="15" s="1"/>
  <c r="W568" i="15"/>
  <c r="Y567" i="15"/>
  <c r="X567" i="15"/>
  <c r="AE567" i="15" s="1"/>
  <c r="W567" i="15"/>
  <c r="Y566" i="15"/>
  <c r="X566" i="15"/>
  <c r="AE566" i="15" s="1"/>
  <c r="W566" i="15"/>
  <c r="Y564" i="15"/>
  <c r="X564" i="15"/>
  <c r="AE564" i="15" s="1"/>
  <c r="W564" i="15"/>
  <c r="O564" i="15"/>
  <c r="K564" i="15"/>
  <c r="I564" i="15" s="1"/>
  <c r="T567" i="15" s="1"/>
  <c r="Y563" i="15"/>
  <c r="X563" i="15"/>
  <c r="AE563" i="15" s="1"/>
  <c r="W563" i="15"/>
  <c r="Y562" i="15"/>
  <c r="X562" i="15"/>
  <c r="AE562" i="15" s="1"/>
  <c r="W562" i="15"/>
  <c r="Y561" i="15"/>
  <c r="X561" i="15"/>
  <c r="AE561" i="15" s="1"/>
  <c r="W561" i="15"/>
  <c r="Y560" i="15"/>
  <c r="X560" i="15"/>
  <c r="AE560" i="15" s="1"/>
  <c r="W560" i="15"/>
  <c r="Y558" i="15"/>
  <c r="X558" i="15"/>
  <c r="W558" i="15"/>
  <c r="O558" i="15"/>
  <c r="K558" i="15"/>
  <c r="I558" i="15" s="1"/>
  <c r="U562" i="15" s="1"/>
  <c r="Y557" i="15"/>
  <c r="X557" i="15"/>
  <c r="AE557" i="15" s="1"/>
  <c r="W557" i="15"/>
  <c r="Y556" i="15"/>
  <c r="X556" i="15"/>
  <c r="AE556" i="15" s="1"/>
  <c r="W556" i="15"/>
  <c r="Y555" i="15"/>
  <c r="X555" i="15"/>
  <c r="AE555" i="15" s="1"/>
  <c r="W555" i="15"/>
  <c r="Y554" i="15"/>
  <c r="X554" i="15"/>
  <c r="AE554" i="15" s="1"/>
  <c r="W554" i="15"/>
  <c r="Y552" i="15"/>
  <c r="X552" i="15"/>
  <c r="AE552" i="15" s="1"/>
  <c r="W552" i="15"/>
  <c r="O552" i="15"/>
  <c r="K552" i="15"/>
  <c r="I552" i="15" s="1"/>
  <c r="T555" i="15" s="1"/>
  <c r="Y551" i="15"/>
  <c r="X551" i="15"/>
  <c r="AE551" i="15" s="1"/>
  <c r="W551" i="15"/>
  <c r="Y550" i="15"/>
  <c r="X550" i="15"/>
  <c r="AE550" i="15" s="1"/>
  <c r="W550" i="15"/>
  <c r="Y549" i="15"/>
  <c r="X549" i="15"/>
  <c r="AE549" i="15" s="1"/>
  <c r="W549" i="15"/>
  <c r="Y548" i="15"/>
  <c r="X548" i="15"/>
  <c r="AE548" i="15" s="1"/>
  <c r="W548" i="15"/>
  <c r="Y546" i="15"/>
  <c r="X546" i="15"/>
  <c r="W546" i="15"/>
  <c r="O546" i="15"/>
  <c r="K546" i="15"/>
  <c r="I546" i="15" s="1"/>
  <c r="U550" i="15" s="1"/>
  <c r="Y545" i="15"/>
  <c r="X545" i="15"/>
  <c r="AE545" i="15" s="1"/>
  <c r="W545" i="15"/>
  <c r="Y544" i="15"/>
  <c r="X544" i="15"/>
  <c r="AE544" i="15" s="1"/>
  <c r="W544" i="15"/>
  <c r="Y543" i="15"/>
  <c r="X543" i="15"/>
  <c r="AE543" i="15" s="1"/>
  <c r="W543" i="15"/>
  <c r="Y542" i="15"/>
  <c r="X542" i="15"/>
  <c r="AE542" i="15" s="1"/>
  <c r="W542" i="15"/>
  <c r="Y540" i="15"/>
  <c r="X540" i="15"/>
  <c r="AE540" i="15" s="1"/>
  <c r="W540" i="15"/>
  <c r="O540" i="15"/>
  <c r="K540" i="15"/>
  <c r="I540" i="15" s="1"/>
  <c r="T543" i="15" s="1"/>
  <c r="Y539" i="15"/>
  <c r="X539" i="15"/>
  <c r="AE539" i="15" s="1"/>
  <c r="W539" i="15"/>
  <c r="Y538" i="15"/>
  <c r="X538" i="15"/>
  <c r="AE538" i="15" s="1"/>
  <c r="W538" i="15"/>
  <c r="Y537" i="15"/>
  <c r="X537" i="15"/>
  <c r="AE537" i="15" s="1"/>
  <c r="W537" i="15"/>
  <c r="Y536" i="15"/>
  <c r="X536" i="15"/>
  <c r="AE536" i="15" s="1"/>
  <c r="W536" i="15"/>
  <c r="Y534" i="15"/>
  <c r="X534" i="15"/>
  <c r="W534" i="15"/>
  <c r="O534" i="15"/>
  <c r="K534" i="15"/>
  <c r="I534" i="15" s="1"/>
  <c r="U538" i="15" s="1"/>
  <c r="Y533" i="15"/>
  <c r="X533" i="15"/>
  <c r="AE533" i="15" s="1"/>
  <c r="W533" i="15"/>
  <c r="Y532" i="15"/>
  <c r="X532" i="15"/>
  <c r="AE532" i="15" s="1"/>
  <c r="W532" i="15"/>
  <c r="Y531" i="15"/>
  <c r="X531" i="15"/>
  <c r="AE531" i="15" s="1"/>
  <c r="W531" i="15"/>
  <c r="Y530" i="15"/>
  <c r="X530" i="15"/>
  <c r="AE530" i="15" s="1"/>
  <c r="W530" i="15"/>
  <c r="Y528" i="15"/>
  <c r="X528" i="15"/>
  <c r="AE528" i="15" s="1"/>
  <c r="W528" i="15"/>
  <c r="O528" i="15"/>
  <c r="K528" i="15"/>
  <c r="I528" i="15" s="1"/>
  <c r="T528" i="15" s="1"/>
  <c r="Y527" i="15"/>
  <c r="X527" i="15"/>
  <c r="AE527" i="15" s="1"/>
  <c r="W527" i="15"/>
  <c r="Y526" i="15"/>
  <c r="X526" i="15"/>
  <c r="AE526" i="15" s="1"/>
  <c r="W526" i="15"/>
  <c r="Y525" i="15"/>
  <c r="X525" i="15"/>
  <c r="AE525" i="15" s="1"/>
  <c r="W525" i="15"/>
  <c r="Y524" i="15"/>
  <c r="X524" i="15"/>
  <c r="AE524" i="15" s="1"/>
  <c r="W524" i="15"/>
  <c r="Y522" i="15"/>
  <c r="X522" i="15"/>
  <c r="AE523" i="15" s="1"/>
  <c r="W522" i="15"/>
  <c r="O522" i="15"/>
  <c r="K522" i="15"/>
  <c r="I522" i="15" s="1"/>
  <c r="U526" i="15" s="1"/>
  <c r="Y521" i="15"/>
  <c r="X521" i="15"/>
  <c r="AE521" i="15" s="1"/>
  <c r="W521" i="15"/>
  <c r="Y520" i="15"/>
  <c r="X520" i="15"/>
  <c r="AE520" i="15" s="1"/>
  <c r="W520" i="15"/>
  <c r="Y519" i="15"/>
  <c r="X519" i="15"/>
  <c r="AE519" i="15" s="1"/>
  <c r="W519" i="15"/>
  <c r="Y518" i="15"/>
  <c r="X518" i="15"/>
  <c r="AE518" i="15" s="1"/>
  <c r="W518" i="15"/>
  <c r="Y516" i="15"/>
  <c r="X516" i="15"/>
  <c r="AE517" i="15" s="1"/>
  <c r="W516" i="15"/>
  <c r="O516" i="15"/>
  <c r="K516" i="15"/>
  <c r="I516" i="15" s="1"/>
  <c r="V521" i="15" s="1"/>
  <c r="Y515" i="15"/>
  <c r="X515" i="15"/>
  <c r="AE515" i="15" s="1"/>
  <c r="W515" i="15"/>
  <c r="Y514" i="15"/>
  <c r="X514" i="15"/>
  <c r="AE514" i="15" s="1"/>
  <c r="W514" i="15"/>
  <c r="Y513" i="15"/>
  <c r="X513" i="15"/>
  <c r="AE513" i="15" s="1"/>
  <c r="W513" i="15"/>
  <c r="Y512" i="15"/>
  <c r="X512" i="15"/>
  <c r="AE512" i="15" s="1"/>
  <c r="W512" i="15"/>
  <c r="Y510" i="15"/>
  <c r="X510" i="15"/>
  <c r="AE510" i="15" s="1"/>
  <c r="W510" i="15"/>
  <c r="O510" i="15"/>
  <c r="K510" i="15"/>
  <c r="I510" i="15" s="1"/>
  <c r="Y509" i="15"/>
  <c r="X509" i="15"/>
  <c r="AE509" i="15" s="1"/>
  <c r="W509" i="15"/>
  <c r="Y508" i="15"/>
  <c r="X508" i="15"/>
  <c r="AE508" i="15" s="1"/>
  <c r="W508" i="15"/>
  <c r="Y507" i="15"/>
  <c r="X507" i="15"/>
  <c r="AE507" i="15" s="1"/>
  <c r="W507" i="15"/>
  <c r="Y506" i="15"/>
  <c r="X506" i="15"/>
  <c r="AE506" i="15" s="1"/>
  <c r="W506" i="15"/>
  <c r="Y504" i="15"/>
  <c r="X504" i="15"/>
  <c r="AE504" i="15" s="1"/>
  <c r="W504" i="15"/>
  <c r="O504" i="15"/>
  <c r="K504" i="15"/>
  <c r="I504" i="15" s="1"/>
  <c r="Y503" i="15"/>
  <c r="X503" i="15"/>
  <c r="AE503" i="15" s="1"/>
  <c r="W503" i="15"/>
  <c r="Y502" i="15"/>
  <c r="X502" i="15"/>
  <c r="AE502" i="15" s="1"/>
  <c r="W502" i="15"/>
  <c r="Y501" i="15"/>
  <c r="X501" i="15"/>
  <c r="AE501" i="15" s="1"/>
  <c r="W501" i="15"/>
  <c r="Y500" i="15"/>
  <c r="X500" i="15"/>
  <c r="AE500" i="15" s="1"/>
  <c r="W500" i="15"/>
  <c r="Y498" i="15"/>
  <c r="X498" i="15"/>
  <c r="AE498" i="15" s="1"/>
  <c r="W498" i="15"/>
  <c r="O498" i="15"/>
  <c r="K498" i="15"/>
  <c r="I498" i="15" s="1"/>
  <c r="Y497" i="15"/>
  <c r="X497" i="15"/>
  <c r="AE497" i="15" s="1"/>
  <c r="W497" i="15"/>
  <c r="Y496" i="15"/>
  <c r="X496" i="15"/>
  <c r="AE496" i="15" s="1"/>
  <c r="W496" i="15"/>
  <c r="Y495" i="15"/>
  <c r="X495" i="15"/>
  <c r="AE495" i="15" s="1"/>
  <c r="W495" i="15"/>
  <c r="Y494" i="15"/>
  <c r="X494" i="15"/>
  <c r="AE494" i="15" s="1"/>
  <c r="W494" i="15"/>
  <c r="Y492" i="15"/>
  <c r="X492" i="15"/>
  <c r="AE493" i="15" s="1"/>
  <c r="W492" i="15"/>
  <c r="O492" i="15"/>
  <c r="K492" i="15"/>
  <c r="I492" i="15" s="1"/>
  <c r="U497" i="15" s="1"/>
  <c r="Y491" i="15"/>
  <c r="X491" i="15"/>
  <c r="AE491" i="15" s="1"/>
  <c r="W491" i="15"/>
  <c r="Y490" i="15"/>
  <c r="X490" i="15"/>
  <c r="AE490" i="15" s="1"/>
  <c r="W490" i="15"/>
  <c r="Y489" i="15"/>
  <c r="X489" i="15"/>
  <c r="AE489" i="15" s="1"/>
  <c r="W489" i="15"/>
  <c r="Y488" i="15"/>
  <c r="X488" i="15"/>
  <c r="AE488" i="15" s="1"/>
  <c r="W488" i="15"/>
  <c r="Y486" i="15"/>
  <c r="X486" i="15"/>
  <c r="AE486" i="15" s="1"/>
  <c r="W486" i="15"/>
  <c r="O486" i="15"/>
  <c r="K486" i="15"/>
  <c r="I486" i="15" s="1"/>
  <c r="Y485" i="15"/>
  <c r="X485" i="15"/>
  <c r="AE485" i="15" s="1"/>
  <c r="W485" i="15"/>
  <c r="Y484" i="15"/>
  <c r="X484" i="15"/>
  <c r="AE484" i="15" s="1"/>
  <c r="W484" i="15"/>
  <c r="Y483" i="15"/>
  <c r="X483" i="15"/>
  <c r="AE483" i="15" s="1"/>
  <c r="W483" i="15"/>
  <c r="Y482" i="15"/>
  <c r="X482" i="15"/>
  <c r="AE482" i="15" s="1"/>
  <c r="W482" i="15"/>
  <c r="Y480" i="15"/>
  <c r="X480" i="15"/>
  <c r="AE481" i="15" s="1"/>
  <c r="W480" i="15"/>
  <c r="O480" i="15"/>
  <c r="K480" i="15"/>
  <c r="I480" i="15" s="1"/>
  <c r="Y479" i="15"/>
  <c r="X479" i="15"/>
  <c r="AE479" i="15" s="1"/>
  <c r="W479" i="15"/>
  <c r="Y478" i="15"/>
  <c r="X478" i="15"/>
  <c r="AE478" i="15" s="1"/>
  <c r="W478" i="15"/>
  <c r="Y477" i="15"/>
  <c r="X477" i="15"/>
  <c r="AE477" i="15" s="1"/>
  <c r="W477" i="15"/>
  <c r="Y476" i="15"/>
  <c r="X476" i="15"/>
  <c r="AE476" i="15" s="1"/>
  <c r="W476" i="15"/>
  <c r="Y474" i="15"/>
  <c r="X474" i="15"/>
  <c r="AE474" i="15" s="1"/>
  <c r="W474" i="15"/>
  <c r="O474" i="15"/>
  <c r="K474" i="15"/>
  <c r="I474" i="15" s="1"/>
  <c r="Y473" i="15"/>
  <c r="X473" i="15"/>
  <c r="AE473" i="15" s="1"/>
  <c r="W473" i="15"/>
  <c r="Y472" i="15"/>
  <c r="X472" i="15"/>
  <c r="AE472" i="15" s="1"/>
  <c r="W472" i="15"/>
  <c r="Y471" i="15"/>
  <c r="X471" i="15"/>
  <c r="AE471" i="15" s="1"/>
  <c r="W471" i="15"/>
  <c r="Y470" i="15"/>
  <c r="X470" i="15"/>
  <c r="AE470" i="15" s="1"/>
  <c r="W470" i="15"/>
  <c r="Y468" i="15"/>
  <c r="X468" i="15"/>
  <c r="AE469" i="15" s="1"/>
  <c r="W468" i="15"/>
  <c r="O468" i="15"/>
  <c r="K468" i="15"/>
  <c r="I468" i="15" s="1"/>
  <c r="Y467" i="15"/>
  <c r="X467" i="15"/>
  <c r="AE467" i="15" s="1"/>
  <c r="W467" i="15"/>
  <c r="Y466" i="15"/>
  <c r="X466" i="15"/>
  <c r="AE466" i="15" s="1"/>
  <c r="W466" i="15"/>
  <c r="Y465" i="15"/>
  <c r="X465" i="15"/>
  <c r="AE465" i="15" s="1"/>
  <c r="W465" i="15"/>
  <c r="Y464" i="15"/>
  <c r="X464" i="15"/>
  <c r="AE464" i="15" s="1"/>
  <c r="W464" i="15"/>
  <c r="Y462" i="15"/>
  <c r="X462" i="15"/>
  <c r="AE462" i="15" s="1"/>
  <c r="W462" i="15"/>
  <c r="O462" i="15"/>
  <c r="K462" i="15"/>
  <c r="I462" i="15" s="1"/>
  <c r="Y461" i="15"/>
  <c r="X461" i="15"/>
  <c r="AE461" i="15" s="1"/>
  <c r="W461" i="15"/>
  <c r="Y460" i="15"/>
  <c r="X460" i="15"/>
  <c r="AE460" i="15" s="1"/>
  <c r="W460" i="15"/>
  <c r="Y459" i="15"/>
  <c r="X459" i="15"/>
  <c r="AE459" i="15" s="1"/>
  <c r="W459" i="15"/>
  <c r="Y458" i="15"/>
  <c r="X458" i="15"/>
  <c r="AE458" i="15" s="1"/>
  <c r="W458" i="15"/>
  <c r="Y456" i="15"/>
  <c r="X456" i="15"/>
  <c r="AE457" i="15" s="1"/>
  <c r="W456" i="15"/>
  <c r="O456" i="15"/>
  <c r="K456" i="15"/>
  <c r="I456" i="15" s="1"/>
  <c r="U461" i="15" s="1"/>
  <c r="Y455" i="15"/>
  <c r="X455" i="15"/>
  <c r="AE455" i="15" s="1"/>
  <c r="W455" i="15"/>
  <c r="Y454" i="15"/>
  <c r="X454" i="15"/>
  <c r="AE454" i="15" s="1"/>
  <c r="W454" i="15"/>
  <c r="Y453" i="15"/>
  <c r="X453" i="15"/>
  <c r="AE453" i="15" s="1"/>
  <c r="W453" i="15"/>
  <c r="Y452" i="15"/>
  <c r="X452" i="15"/>
  <c r="AE452" i="15" s="1"/>
  <c r="W452" i="15"/>
  <c r="Y450" i="15"/>
  <c r="X450" i="15"/>
  <c r="AE451" i="15" s="1"/>
  <c r="W450" i="15"/>
  <c r="O450" i="15"/>
  <c r="K450" i="15"/>
  <c r="I450" i="15" s="1"/>
  <c r="Y449" i="15"/>
  <c r="X449" i="15"/>
  <c r="AE449" i="15" s="1"/>
  <c r="W449" i="15"/>
  <c r="Y448" i="15"/>
  <c r="X448" i="15"/>
  <c r="AE448" i="15" s="1"/>
  <c r="W448" i="15"/>
  <c r="Y447" i="15"/>
  <c r="X447" i="15"/>
  <c r="AE447" i="15" s="1"/>
  <c r="W447" i="15"/>
  <c r="Y446" i="15"/>
  <c r="X446" i="15"/>
  <c r="AE446" i="15" s="1"/>
  <c r="W446" i="15"/>
  <c r="Y444" i="15"/>
  <c r="X444" i="15"/>
  <c r="AE445" i="15" s="1"/>
  <c r="W444" i="15"/>
  <c r="O444" i="15"/>
  <c r="K444" i="15"/>
  <c r="I444" i="15" s="1"/>
  <c r="Y443" i="15"/>
  <c r="X443" i="15"/>
  <c r="AE443" i="15" s="1"/>
  <c r="W443" i="15"/>
  <c r="Y442" i="15"/>
  <c r="X442" i="15"/>
  <c r="AE442" i="15" s="1"/>
  <c r="W442" i="15"/>
  <c r="Y441" i="15"/>
  <c r="X441" i="15"/>
  <c r="AE441" i="15" s="1"/>
  <c r="W441" i="15"/>
  <c r="Y440" i="15"/>
  <c r="X440" i="15"/>
  <c r="AE440" i="15" s="1"/>
  <c r="W440" i="15"/>
  <c r="Y438" i="15"/>
  <c r="X438" i="15"/>
  <c r="AE438" i="15" s="1"/>
  <c r="W438" i="15"/>
  <c r="O438" i="15"/>
  <c r="K438" i="15"/>
  <c r="I438" i="15" s="1"/>
  <c r="Y437" i="15"/>
  <c r="X437" i="15"/>
  <c r="AE437" i="15" s="1"/>
  <c r="W437" i="15"/>
  <c r="Y436" i="15"/>
  <c r="X436" i="15"/>
  <c r="AE436" i="15" s="1"/>
  <c r="W436" i="15"/>
  <c r="Y435" i="15"/>
  <c r="X435" i="15"/>
  <c r="AE435" i="15" s="1"/>
  <c r="W435" i="15"/>
  <c r="Y434" i="15"/>
  <c r="X434" i="15"/>
  <c r="AE434" i="15" s="1"/>
  <c r="W434" i="15"/>
  <c r="Y432" i="15"/>
  <c r="X432" i="15"/>
  <c r="AE433" i="15" s="1"/>
  <c r="W432" i="15"/>
  <c r="O432" i="15"/>
  <c r="K432" i="15"/>
  <c r="I432" i="15" s="1"/>
  <c r="V435" i="15" s="1"/>
  <c r="Y431" i="15"/>
  <c r="X431" i="15"/>
  <c r="AE431" i="15" s="1"/>
  <c r="W431" i="15"/>
  <c r="Y430" i="15"/>
  <c r="X430" i="15"/>
  <c r="AE430" i="15" s="1"/>
  <c r="W430" i="15"/>
  <c r="Y429" i="15"/>
  <c r="X429" i="15"/>
  <c r="AE429" i="15" s="1"/>
  <c r="W429" i="15"/>
  <c r="Y428" i="15"/>
  <c r="X428" i="15"/>
  <c r="AE428" i="15" s="1"/>
  <c r="W428" i="15"/>
  <c r="Y426" i="15"/>
  <c r="X426" i="15"/>
  <c r="AE426" i="15" s="1"/>
  <c r="W426" i="15"/>
  <c r="O426" i="15"/>
  <c r="K426" i="15"/>
  <c r="I426" i="15" s="1"/>
  <c r="Y425" i="15"/>
  <c r="X425" i="15"/>
  <c r="AE425" i="15" s="1"/>
  <c r="W425" i="15"/>
  <c r="Y424" i="15"/>
  <c r="X424" i="15"/>
  <c r="AE424" i="15" s="1"/>
  <c r="W424" i="15"/>
  <c r="Y423" i="15"/>
  <c r="X423" i="15"/>
  <c r="AE423" i="15" s="1"/>
  <c r="W423" i="15"/>
  <c r="Y422" i="15"/>
  <c r="X422" i="15"/>
  <c r="AE422" i="15" s="1"/>
  <c r="W422" i="15"/>
  <c r="Y420" i="15"/>
  <c r="X420" i="15"/>
  <c r="AE420" i="15" s="1"/>
  <c r="W420" i="15"/>
  <c r="O420" i="15"/>
  <c r="K420" i="15"/>
  <c r="I420" i="15" s="1"/>
  <c r="Y419" i="15"/>
  <c r="X419" i="15"/>
  <c r="AE419" i="15" s="1"/>
  <c r="W419" i="15"/>
  <c r="Y418" i="15"/>
  <c r="X418" i="15"/>
  <c r="AE418" i="15" s="1"/>
  <c r="W418" i="15"/>
  <c r="Y417" i="15"/>
  <c r="X417" i="15"/>
  <c r="AE417" i="15" s="1"/>
  <c r="W417" i="15"/>
  <c r="Y416" i="15"/>
  <c r="X416" i="15"/>
  <c r="AE416" i="15" s="1"/>
  <c r="W416" i="15"/>
  <c r="Y414" i="15"/>
  <c r="X414" i="15"/>
  <c r="AE415" i="15" s="1"/>
  <c r="W414" i="15"/>
  <c r="O414" i="15"/>
  <c r="K414" i="15"/>
  <c r="I414" i="15" s="1"/>
  <c r="Y413" i="15"/>
  <c r="X413" i="15"/>
  <c r="AE413" i="15" s="1"/>
  <c r="W413" i="15"/>
  <c r="Y412" i="15"/>
  <c r="X412" i="15"/>
  <c r="AE412" i="15" s="1"/>
  <c r="W412" i="15"/>
  <c r="Y411" i="15"/>
  <c r="X411" i="15"/>
  <c r="AE411" i="15" s="1"/>
  <c r="W411" i="15"/>
  <c r="Y410" i="15"/>
  <c r="X410" i="15"/>
  <c r="AE410" i="15" s="1"/>
  <c r="W410" i="15"/>
  <c r="Y408" i="15"/>
  <c r="X408" i="15"/>
  <c r="AE408" i="15" s="1"/>
  <c r="W408" i="15"/>
  <c r="O408" i="15"/>
  <c r="K408" i="15"/>
  <c r="I408" i="15" s="1"/>
  <c r="V411" i="15" s="1"/>
  <c r="Y407" i="15"/>
  <c r="X407" i="15"/>
  <c r="AE407" i="15" s="1"/>
  <c r="W407" i="15"/>
  <c r="Y406" i="15"/>
  <c r="X406" i="15"/>
  <c r="AE406" i="15" s="1"/>
  <c r="W406" i="15"/>
  <c r="Y405" i="15"/>
  <c r="X405" i="15"/>
  <c r="AE405" i="15" s="1"/>
  <c r="W405" i="15"/>
  <c r="Y404" i="15"/>
  <c r="X404" i="15"/>
  <c r="AE404" i="15" s="1"/>
  <c r="W404" i="15"/>
  <c r="Y402" i="15"/>
  <c r="X402" i="15"/>
  <c r="AE403" i="15" s="1"/>
  <c r="W402" i="15"/>
  <c r="O402" i="15"/>
  <c r="K402" i="15"/>
  <c r="I402" i="15" s="1"/>
  <c r="T407" i="15" s="1"/>
  <c r="Y401" i="15"/>
  <c r="X401" i="15"/>
  <c r="AE401" i="15" s="1"/>
  <c r="W401" i="15"/>
  <c r="Y400" i="15"/>
  <c r="X400" i="15"/>
  <c r="AE400" i="15" s="1"/>
  <c r="W400" i="15"/>
  <c r="Y399" i="15"/>
  <c r="X399" i="15"/>
  <c r="AE399" i="15" s="1"/>
  <c r="W399" i="15"/>
  <c r="Y398" i="15"/>
  <c r="X398" i="15"/>
  <c r="AE398" i="15" s="1"/>
  <c r="W398" i="15"/>
  <c r="Y396" i="15"/>
  <c r="X396" i="15"/>
  <c r="AE397" i="15" s="1"/>
  <c r="W396" i="15"/>
  <c r="O396" i="15"/>
  <c r="K396" i="15"/>
  <c r="I396" i="15" s="1"/>
  <c r="T400" i="15" s="1"/>
  <c r="Y352" i="15"/>
  <c r="X352" i="15"/>
  <c r="AE352" i="15" s="1"/>
  <c r="W352" i="15"/>
  <c r="Y351" i="15"/>
  <c r="X351" i="15"/>
  <c r="AE351" i="15" s="1"/>
  <c r="W351" i="15"/>
  <c r="Y350" i="15"/>
  <c r="X350" i="15"/>
  <c r="AE350" i="15" s="1"/>
  <c r="W350" i="15"/>
  <c r="Y349" i="15"/>
  <c r="X349" i="15"/>
  <c r="AE349" i="15" s="1"/>
  <c r="W349" i="15"/>
  <c r="Y347" i="15"/>
  <c r="X347" i="15"/>
  <c r="AE348" i="15" s="1"/>
  <c r="W347" i="15"/>
  <c r="O347" i="15"/>
  <c r="K347" i="15"/>
  <c r="I347" i="15" s="1"/>
  <c r="T352" i="15" s="1"/>
  <c r="Y340" i="15"/>
  <c r="X340" i="15"/>
  <c r="AE340" i="15" s="1"/>
  <c r="W340" i="15"/>
  <c r="Y339" i="15"/>
  <c r="X339" i="15"/>
  <c r="AE339" i="15" s="1"/>
  <c r="W339" i="15"/>
  <c r="Y338" i="15"/>
  <c r="X338" i="15"/>
  <c r="AE338" i="15" s="1"/>
  <c r="W338" i="15"/>
  <c r="Y337" i="15"/>
  <c r="X337" i="15"/>
  <c r="AE337" i="15" s="1"/>
  <c r="W337" i="15"/>
  <c r="Y335" i="15"/>
  <c r="X335" i="15"/>
  <c r="AE336" i="15" s="1"/>
  <c r="W335" i="15"/>
  <c r="O335" i="15"/>
  <c r="K335" i="15"/>
  <c r="I335" i="15" s="1"/>
  <c r="Y334" i="15"/>
  <c r="X334" i="15"/>
  <c r="AE334" i="15" s="1"/>
  <c r="W334" i="15"/>
  <c r="Y333" i="15"/>
  <c r="X333" i="15"/>
  <c r="AE333" i="15" s="1"/>
  <c r="W333" i="15"/>
  <c r="Y332" i="15"/>
  <c r="X332" i="15"/>
  <c r="AE332" i="15" s="1"/>
  <c r="W332" i="15"/>
  <c r="Y331" i="15"/>
  <c r="X331" i="15"/>
  <c r="AE331" i="15" s="1"/>
  <c r="W331" i="15"/>
  <c r="Y329" i="15"/>
  <c r="X329" i="15"/>
  <c r="AE330" i="15" s="1"/>
  <c r="W329" i="15"/>
  <c r="O329" i="15"/>
  <c r="K329" i="15"/>
  <c r="I329" i="15" s="1"/>
  <c r="Y328" i="15"/>
  <c r="X328" i="15"/>
  <c r="AE328" i="15" s="1"/>
  <c r="W328" i="15"/>
  <c r="Y327" i="15"/>
  <c r="X327" i="15"/>
  <c r="AE327" i="15" s="1"/>
  <c r="W327" i="15"/>
  <c r="Y326" i="15"/>
  <c r="X326" i="15"/>
  <c r="AE326" i="15" s="1"/>
  <c r="W326" i="15"/>
  <c r="Y325" i="15"/>
  <c r="X325" i="15"/>
  <c r="AE325" i="15" s="1"/>
  <c r="W325" i="15"/>
  <c r="Y323" i="15"/>
  <c r="X323" i="15"/>
  <c r="AE323" i="15" s="1"/>
  <c r="W323" i="15"/>
  <c r="O323" i="15"/>
  <c r="K323" i="15"/>
  <c r="I323" i="15" s="1"/>
  <c r="Y286" i="15"/>
  <c r="X286" i="15"/>
  <c r="AE286" i="15" s="1"/>
  <c r="W286" i="15"/>
  <c r="Y285" i="15"/>
  <c r="X285" i="15"/>
  <c r="AE285" i="15" s="1"/>
  <c r="W285" i="15"/>
  <c r="Y284" i="15"/>
  <c r="X284" i="15"/>
  <c r="AE284" i="15" s="1"/>
  <c r="W284" i="15"/>
  <c r="Y283" i="15"/>
  <c r="X283" i="15"/>
  <c r="AE283" i="15" s="1"/>
  <c r="W283" i="15"/>
  <c r="Y281" i="15"/>
  <c r="X281" i="15"/>
  <c r="AE282" i="15" s="1"/>
  <c r="W281" i="15"/>
  <c r="O281" i="15"/>
  <c r="K281" i="15"/>
  <c r="I281" i="15" s="1"/>
  <c r="Y280" i="15"/>
  <c r="X280" i="15"/>
  <c r="AE280" i="15" s="1"/>
  <c r="W280" i="15"/>
  <c r="Y279" i="15"/>
  <c r="X279" i="15"/>
  <c r="AE279" i="15" s="1"/>
  <c r="W279" i="15"/>
  <c r="Y278" i="15"/>
  <c r="X278" i="15"/>
  <c r="AE278" i="15" s="1"/>
  <c r="W278" i="15"/>
  <c r="Y277" i="15"/>
  <c r="X277" i="15"/>
  <c r="AE277" i="15" s="1"/>
  <c r="W277" i="15"/>
  <c r="Y275" i="15"/>
  <c r="X275" i="15"/>
  <c r="AE276" i="15" s="1"/>
  <c r="W275" i="15"/>
  <c r="O275" i="15"/>
  <c r="K275" i="15"/>
  <c r="I275" i="15" s="1"/>
  <c r="V277" i="15" s="1"/>
  <c r="Y274" i="15"/>
  <c r="X274" i="15"/>
  <c r="AE274" i="15" s="1"/>
  <c r="W274" i="15"/>
  <c r="Y273" i="15"/>
  <c r="X273" i="15"/>
  <c r="AE273" i="15" s="1"/>
  <c r="W273" i="15"/>
  <c r="Y272" i="15"/>
  <c r="X272" i="15"/>
  <c r="AE272" i="15" s="1"/>
  <c r="W272" i="15"/>
  <c r="Y271" i="15"/>
  <c r="X271" i="15"/>
  <c r="AE271" i="15" s="1"/>
  <c r="W271" i="15"/>
  <c r="Y269" i="15"/>
  <c r="X269" i="15"/>
  <c r="AE269" i="15" s="1"/>
  <c r="W269" i="15"/>
  <c r="O269" i="15"/>
  <c r="K269" i="15"/>
  <c r="I269" i="15" s="1"/>
  <c r="Y268" i="15"/>
  <c r="X268" i="15"/>
  <c r="AE268" i="15" s="1"/>
  <c r="W268" i="15"/>
  <c r="Y267" i="15"/>
  <c r="X267" i="15"/>
  <c r="AE267" i="15" s="1"/>
  <c r="W267" i="15"/>
  <c r="Y266" i="15"/>
  <c r="X266" i="15"/>
  <c r="AE266" i="15" s="1"/>
  <c r="W266" i="15"/>
  <c r="Y265" i="15"/>
  <c r="X265" i="15"/>
  <c r="AE265" i="15" s="1"/>
  <c r="W265" i="15"/>
  <c r="Y263" i="15"/>
  <c r="X263" i="15"/>
  <c r="AE264" i="15" s="1"/>
  <c r="W263" i="15"/>
  <c r="O263" i="15"/>
  <c r="K263" i="15"/>
  <c r="I263" i="15" s="1"/>
  <c r="Y262" i="15"/>
  <c r="X262" i="15"/>
  <c r="AE262" i="15" s="1"/>
  <c r="W262" i="15"/>
  <c r="Y261" i="15"/>
  <c r="X261" i="15"/>
  <c r="AE261" i="15" s="1"/>
  <c r="W261" i="15"/>
  <c r="Y260" i="15"/>
  <c r="X260" i="15"/>
  <c r="AE260" i="15" s="1"/>
  <c r="W260" i="15"/>
  <c r="Y259" i="15"/>
  <c r="X259" i="15"/>
  <c r="AE259" i="15" s="1"/>
  <c r="W259" i="15"/>
  <c r="Y257" i="15"/>
  <c r="X257" i="15"/>
  <c r="AE257" i="15" s="1"/>
  <c r="W257" i="15"/>
  <c r="O257" i="15"/>
  <c r="K257" i="15"/>
  <c r="I257" i="15" s="1"/>
  <c r="AA526" i="15" l="1"/>
  <c r="Z699" i="15"/>
  <c r="AB411" i="15"/>
  <c r="AE661" i="15"/>
  <c r="Z555" i="15"/>
  <c r="AA671" i="15"/>
  <c r="Z407" i="15"/>
  <c r="AA497" i="15"/>
  <c r="Z657" i="15"/>
  <c r="Z528" i="15"/>
  <c r="AA630" i="15"/>
  <c r="AE637" i="15"/>
  <c r="AA706" i="15"/>
  <c r="Z711" i="15"/>
  <c r="AE727" i="15"/>
  <c r="Z543" i="15"/>
  <c r="AE698" i="15"/>
  <c r="AA550" i="15"/>
  <c r="Z352" i="15"/>
  <c r="AE607" i="15"/>
  <c r="Z664" i="15"/>
  <c r="Z737" i="15"/>
  <c r="U690" i="15"/>
  <c r="AA690" i="15" s="1"/>
  <c r="V688" i="15"/>
  <c r="AB688" i="15" s="1"/>
  <c r="V654" i="15"/>
  <c r="U649" i="15"/>
  <c r="AE593" i="15"/>
  <c r="AA718" i="15"/>
  <c r="AE402" i="15"/>
  <c r="T640" i="15"/>
  <c r="Z640" i="15" s="1"/>
  <c r="V642" i="15"/>
  <c r="AB642" i="15" s="1"/>
  <c r="AB521" i="15"/>
  <c r="AE643" i="15"/>
  <c r="AE710" i="15"/>
  <c r="AE529" i="15"/>
  <c r="AE613" i="15"/>
  <c r="AE673" i="15"/>
  <c r="AB435" i="15"/>
  <c r="AA461" i="15"/>
  <c r="AE716" i="15"/>
  <c r="AA682" i="15"/>
  <c r="V652" i="15"/>
  <c r="AB652" i="15" s="1"/>
  <c r="U653" i="15"/>
  <c r="AA653" i="15" s="1"/>
  <c r="U648" i="15"/>
  <c r="AA648" i="15" s="1"/>
  <c r="AA646" i="15"/>
  <c r="T732" i="15"/>
  <c r="Z732" i="15" s="1"/>
  <c r="T727" i="15"/>
  <c r="Z727" i="15" s="1"/>
  <c r="AF727" i="15" s="1"/>
  <c r="V727" i="15"/>
  <c r="AB727" i="15" s="1"/>
  <c r="U727" i="15"/>
  <c r="AA727" i="15" s="1"/>
  <c r="V732" i="15"/>
  <c r="AB732" i="15" s="1"/>
  <c r="T730" i="15"/>
  <c r="Z730" i="15" s="1"/>
  <c r="AE592" i="15"/>
  <c r="AE590" i="15"/>
  <c r="T678" i="15"/>
  <c r="Z678" i="15" s="1"/>
  <c r="U676" i="15"/>
  <c r="AA676" i="15" s="1"/>
  <c r="T676" i="15"/>
  <c r="Z676" i="15" s="1"/>
  <c r="V676" i="15"/>
  <c r="AB676" i="15" s="1"/>
  <c r="V673" i="15"/>
  <c r="AB673" i="15" s="1"/>
  <c r="V678" i="15"/>
  <c r="AB678" i="15" s="1"/>
  <c r="U673" i="15"/>
  <c r="AA673" i="15" s="1"/>
  <c r="U678" i="15"/>
  <c r="AA678" i="15" s="1"/>
  <c r="V675" i="15"/>
  <c r="AB675" i="15" s="1"/>
  <c r="T673" i="15"/>
  <c r="Z673" i="15" s="1"/>
  <c r="AE591" i="15"/>
  <c r="AA649" i="15"/>
  <c r="Z400" i="15"/>
  <c r="AE595" i="15"/>
  <c r="V649" i="15"/>
  <c r="AB649" i="15" s="1"/>
  <c r="V682" i="15"/>
  <c r="AB682" i="15" s="1"/>
  <c r="V690" i="15"/>
  <c r="AB690" i="15" s="1"/>
  <c r="AE444" i="15"/>
  <c r="AE553" i="15"/>
  <c r="Z567" i="15"/>
  <c r="AB639" i="15"/>
  <c r="U639" i="15"/>
  <c r="AA639" i="15" s="1"/>
  <c r="T645" i="15"/>
  <c r="Z645" i="15" s="1"/>
  <c r="U652" i="15"/>
  <c r="AA652" i="15" s="1"/>
  <c r="AE703" i="15"/>
  <c r="U715" i="15"/>
  <c r="AA715" i="15" s="1"/>
  <c r="V645" i="15"/>
  <c r="AB645" i="15" s="1"/>
  <c r="U689" i="15"/>
  <c r="AA689" i="15" s="1"/>
  <c r="AE734" i="15"/>
  <c r="AE427" i="15"/>
  <c r="AE468" i="15"/>
  <c r="AE541" i="15"/>
  <c r="U637" i="15"/>
  <c r="AA637" i="15" s="1"/>
  <c r="V647" i="15"/>
  <c r="AB647" i="15" s="1"/>
  <c r="AE492" i="15"/>
  <c r="AA611" i="15"/>
  <c r="AB654" i="15"/>
  <c r="AE649" i="15"/>
  <c r="T671" i="15"/>
  <c r="Z671" i="15" s="1"/>
  <c r="T683" i="15"/>
  <c r="Z683" i="15" s="1"/>
  <c r="T685" i="15"/>
  <c r="Z685" i="15" s="1"/>
  <c r="AE414" i="15"/>
  <c r="AA538" i="15"/>
  <c r="V685" i="15"/>
  <c r="AB685" i="15" s="1"/>
  <c r="T688" i="15"/>
  <c r="Z688" i="15" s="1"/>
  <c r="V640" i="15"/>
  <c r="AB640" i="15" s="1"/>
  <c r="U642" i="15"/>
  <c r="AA642" i="15" s="1"/>
  <c r="T637" i="15"/>
  <c r="Z637" i="15" s="1"/>
  <c r="V635" i="15"/>
  <c r="AB635" i="15" s="1"/>
  <c r="V633" i="15"/>
  <c r="AB633" i="15" s="1"/>
  <c r="T633" i="15"/>
  <c r="Z633" i="15" s="1"/>
  <c r="T625" i="15"/>
  <c r="Z625" i="15" s="1"/>
  <c r="U625" i="15"/>
  <c r="AA625" i="15" s="1"/>
  <c r="T628" i="15"/>
  <c r="Z628" i="15" s="1"/>
  <c r="V625" i="15"/>
  <c r="AB625" i="15" s="1"/>
  <c r="U628" i="15"/>
  <c r="AA628" i="15" s="1"/>
  <c r="V628" i="15"/>
  <c r="AB628" i="15" s="1"/>
  <c r="V630" i="15"/>
  <c r="AB630" i="15" s="1"/>
  <c r="U629" i="15"/>
  <c r="AA629" i="15" s="1"/>
  <c r="V606" i="15"/>
  <c r="AB606" i="15" s="1"/>
  <c r="V604" i="15"/>
  <c r="AB604" i="15" s="1"/>
  <c r="U604" i="15"/>
  <c r="AA604" i="15" s="1"/>
  <c r="V601" i="15"/>
  <c r="AB601" i="15" s="1"/>
  <c r="V616" i="15"/>
  <c r="AB616" i="15" s="1"/>
  <c r="V613" i="15"/>
  <c r="AB613" i="15" s="1"/>
  <c r="U613" i="15"/>
  <c r="AA613" i="15" s="1"/>
  <c r="V599" i="15"/>
  <c r="AB599" i="15" s="1"/>
  <c r="T597" i="15"/>
  <c r="Z597" i="15" s="1"/>
  <c r="U595" i="15"/>
  <c r="AA595" i="15" s="1"/>
  <c r="U599" i="15"/>
  <c r="AA599" i="15" s="1"/>
  <c r="T599" i="15"/>
  <c r="Z599" i="15" s="1"/>
  <c r="U600" i="15"/>
  <c r="AA600" i="15" s="1"/>
  <c r="V598" i="15"/>
  <c r="AB598" i="15" s="1"/>
  <c r="V595" i="15"/>
  <c r="AB595" i="15" s="1"/>
  <c r="T600" i="15"/>
  <c r="Z600" i="15" s="1"/>
  <c r="U597" i="15"/>
  <c r="AA597" i="15" s="1"/>
  <c r="U598" i="15"/>
  <c r="AA598" i="15" s="1"/>
  <c r="V597" i="15"/>
  <c r="AB597" i="15" s="1"/>
  <c r="V600" i="15"/>
  <c r="AB600" i="15" s="1"/>
  <c r="T598" i="15"/>
  <c r="Z598" i="15" s="1"/>
  <c r="T595" i="15"/>
  <c r="Z595" i="15" s="1"/>
  <c r="AE602" i="15"/>
  <c r="T605" i="15"/>
  <c r="Z605" i="15" s="1"/>
  <c r="V609" i="15"/>
  <c r="AB609" i="15" s="1"/>
  <c r="U612" i="15"/>
  <c r="AA612" i="15" s="1"/>
  <c r="U645" i="15"/>
  <c r="AA645" i="15" s="1"/>
  <c r="V611" i="15"/>
  <c r="AB611" i="15" s="1"/>
  <c r="U605" i="15"/>
  <c r="AA605" i="15" s="1"/>
  <c r="T607" i="15"/>
  <c r="Z607" i="15" s="1"/>
  <c r="T610" i="15"/>
  <c r="Z610" i="15" s="1"/>
  <c r="V612" i="15"/>
  <c r="AB612" i="15" s="1"/>
  <c r="T659" i="15"/>
  <c r="Z659" i="15" s="1"/>
  <c r="V658" i="15"/>
  <c r="AB658" i="15" s="1"/>
  <c r="V655" i="15"/>
  <c r="AB655" i="15" s="1"/>
  <c r="U658" i="15"/>
  <c r="AA658" i="15" s="1"/>
  <c r="U655" i="15"/>
  <c r="AA655" i="15" s="1"/>
  <c r="V660" i="15"/>
  <c r="AB660" i="15" s="1"/>
  <c r="T658" i="15"/>
  <c r="Z658" i="15" s="1"/>
  <c r="T655" i="15"/>
  <c r="Z655" i="15" s="1"/>
  <c r="U660" i="15"/>
  <c r="AA660" i="15" s="1"/>
  <c r="V657" i="15"/>
  <c r="AB657" i="15" s="1"/>
  <c r="T660" i="15"/>
  <c r="Z660" i="15" s="1"/>
  <c r="U657" i="15"/>
  <c r="AA657" i="15" s="1"/>
  <c r="T661" i="15"/>
  <c r="Z661" i="15" s="1"/>
  <c r="V666" i="15"/>
  <c r="AB666" i="15" s="1"/>
  <c r="T603" i="15"/>
  <c r="Z603" i="15" s="1"/>
  <c r="V605" i="15"/>
  <c r="AB605" i="15" s="1"/>
  <c r="U607" i="15"/>
  <c r="AA607" i="15" s="1"/>
  <c r="U610" i="15"/>
  <c r="AA610" i="15" s="1"/>
  <c r="U618" i="15"/>
  <c r="AA618" i="15" s="1"/>
  <c r="T618" i="15"/>
  <c r="Z618" i="15" s="1"/>
  <c r="V617" i="15"/>
  <c r="AB617" i="15" s="1"/>
  <c r="T617" i="15"/>
  <c r="Z617" i="15" s="1"/>
  <c r="T615" i="15"/>
  <c r="Z615" i="15" s="1"/>
  <c r="T623" i="15"/>
  <c r="Z623" i="15" s="1"/>
  <c r="V622" i="15"/>
  <c r="AB622" i="15" s="1"/>
  <c r="V619" i="15"/>
  <c r="AB619" i="15" s="1"/>
  <c r="U622" i="15"/>
  <c r="AA622" i="15" s="1"/>
  <c r="U619" i="15"/>
  <c r="AA619" i="15" s="1"/>
  <c r="U624" i="15"/>
  <c r="AA624" i="15" s="1"/>
  <c r="V621" i="15"/>
  <c r="AB621" i="15" s="1"/>
  <c r="U623" i="15"/>
  <c r="AA623" i="15" s="1"/>
  <c r="V624" i="15"/>
  <c r="AB624" i="15" s="1"/>
  <c r="V634" i="15"/>
  <c r="AB634" i="15" s="1"/>
  <c r="U634" i="15"/>
  <c r="AA634" i="15" s="1"/>
  <c r="V631" i="15"/>
  <c r="AB631" i="15" s="1"/>
  <c r="V636" i="15"/>
  <c r="AB636" i="15" s="1"/>
  <c r="T634" i="15"/>
  <c r="Z634" i="15" s="1"/>
  <c r="U631" i="15"/>
  <c r="AA631" i="15" s="1"/>
  <c r="T636" i="15"/>
  <c r="Z636" i="15" s="1"/>
  <c r="U633" i="15"/>
  <c r="AA633" i="15" s="1"/>
  <c r="U647" i="15"/>
  <c r="AA647" i="15" s="1"/>
  <c r="T647" i="15"/>
  <c r="Z647" i="15" s="1"/>
  <c r="V646" i="15"/>
  <c r="AB646" i="15" s="1"/>
  <c r="V648" i="15"/>
  <c r="AB648" i="15" s="1"/>
  <c r="T646" i="15"/>
  <c r="Z646" i="15" s="1"/>
  <c r="U643" i="15"/>
  <c r="AA643" i="15" s="1"/>
  <c r="U659" i="15"/>
  <c r="AA659" i="15" s="1"/>
  <c r="U661" i="15"/>
  <c r="AA661" i="15" s="1"/>
  <c r="T609" i="15"/>
  <c r="Z609" i="15" s="1"/>
  <c r="U609" i="15"/>
  <c r="AA609" i="15" s="1"/>
  <c r="T612" i="15"/>
  <c r="Z612" i="15" s="1"/>
  <c r="AE620" i="15"/>
  <c r="AE619" i="15"/>
  <c r="U603" i="15"/>
  <c r="AA603" i="15" s="1"/>
  <c r="T606" i="15"/>
  <c r="Z606" i="15" s="1"/>
  <c r="V607" i="15"/>
  <c r="AB607" i="15" s="1"/>
  <c r="V610" i="15"/>
  <c r="AB610" i="15" s="1"/>
  <c r="U615" i="15"/>
  <c r="AA615" i="15" s="1"/>
  <c r="V623" i="15"/>
  <c r="AB623" i="15" s="1"/>
  <c r="V659" i="15"/>
  <c r="AB659" i="15" s="1"/>
  <c r="AE668" i="15"/>
  <c r="T601" i="15"/>
  <c r="Z601" i="15" s="1"/>
  <c r="V603" i="15"/>
  <c r="AB603" i="15" s="1"/>
  <c r="U606" i="15"/>
  <c r="AA606" i="15" s="1"/>
  <c r="T611" i="15"/>
  <c r="Z611" i="15" s="1"/>
  <c r="AF611" i="15" s="1"/>
  <c r="V615" i="15"/>
  <c r="AB615" i="15" s="1"/>
  <c r="T616" i="15"/>
  <c r="Z616" i="15" s="1"/>
  <c r="V618" i="15"/>
  <c r="AB618" i="15" s="1"/>
  <c r="T621" i="15"/>
  <c r="Z621" i="15" s="1"/>
  <c r="T622" i="15"/>
  <c r="Z622" i="15" s="1"/>
  <c r="AE632" i="15"/>
  <c r="T635" i="15"/>
  <c r="Z635" i="15" s="1"/>
  <c r="V641" i="15"/>
  <c r="AB641" i="15" s="1"/>
  <c r="T639" i="15"/>
  <c r="Z639" i="15" s="1"/>
  <c r="U641" i="15"/>
  <c r="AA641" i="15" s="1"/>
  <c r="T641" i="15"/>
  <c r="Z641" i="15" s="1"/>
  <c r="U640" i="15"/>
  <c r="AA640" i="15" s="1"/>
  <c r="V637" i="15"/>
  <c r="AB637" i="15" s="1"/>
  <c r="T642" i="15"/>
  <c r="Z642" i="15" s="1"/>
  <c r="T643" i="15"/>
  <c r="Z643" i="15" s="1"/>
  <c r="V670" i="15"/>
  <c r="AB670" i="15" s="1"/>
  <c r="U670" i="15"/>
  <c r="AA670" i="15" s="1"/>
  <c r="V667" i="15"/>
  <c r="AB667" i="15" s="1"/>
  <c r="V672" i="15"/>
  <c r="AB672" i="15" s="1"/>
  <c r="T670" i="15"/>
  <c r="Z670" i="15" s="1"/>
  <c r="U667" i="15"/>
  <c r="AA667" i="15" s="1"/>
  <c r="U672" i="15"/>
  <c r="AA672" i="15" s="1"/>
  <c r="V669" i="15"/>
  <c r="AB669" i="15" s="1"/>
  <c r="T667" i="15"/>
  <c r="Z667" i="15" s="1"/>
  <c r="T672" i="15"/>
  <c r="Z672" i="15" s="1"/>
  <c r="U669" i="15"/>
  <c r="AA669" i="15" s="1"/>
  <c r="V671" i="15"/>
  <c r="AB671" i="15" s="1"/>
  <c r="T669" i="15"/>
  <c r="Z669" i="15" s="1"/>
  <c r="AE680" i="15"/>
  <c r="U666" i="15"/>
  <c r="AA666" i="15" s="1"/>
  <c r="V663" i="15"/>
  <c r="AB663" i="15" s="1"/>
  <c r="T666" i="15"/>
  <c r="Z666" i="15" s="1"/>
  <c r="U663" i="15"/>
  <c r="AA663" i="15" s="1"/>
  <c r="V665" i="15"/>
  <c r="AB665" i="15" s="1"/>
  <c r="T663" i="15"/>
  <c r="Z663" i="15" s="1"/>
  <c r="U665" i="15"/>
  <c r="AA665" i="15" s="1"/>
  <c r="T665" i="15"/>
  <c r="Z665" i="15" s="1"/>
  <c r="V664" i="15"/>
  <c r="AB664" i="15" s="1"/>
  <c r="V661" i="15"/>
  <c r="AB661" i="15" s="1"/>
  <c r="U601" i="15"/>
  <c r="AA601" i="15" s="1"/>
  <c r="T604" i="15"/>
  <c r="Z604" i="15" s="1"/>
  <c r="T613" i="15"/>
  <c r="Z613" i="15" s="1"/>
  <c r="U616" i="15"/>
  <c r="AA616" i="15" s="1"/>
  <c r="U617" i="15"/>
  <c r="AA617" i="15" s="1"/>
  <c r="T619" i="15"/>
  <c r="Z619" i="15" s="1"/>
  <c r="U621" i="15"/>
  <c r="AA621" i="15" s="1"/>
  <c r="AE625" i="15"/>
  <c r="T631" i="15"/>
  <c r="Z631" i="15" s="1"/>
  <c r="U635" i="15"/>
  <c r="AA635" i="15" s="1"/>
  <c r="U636" i="15"/>
  <c r="AA636" i="15" s="1"/>
  <c r="V643" i="15"/>
  <c r="AB643" i="15" s="1"/>
  <c r="T648" i="15"/>
  <c r="Z648" i="15" s="1"/>
  <c r="U654" i="15"/>
  <c r="AA654" i="15" s="1"/>
  <c r="V651" i="15"/>
  <c r="AB651" i="15" s="1"/>
  <c r="T649" i="15"/>
  <c r="Z649" i="15" s="1"/>
  <c r="T654" i="15"/>
  <c r="Z654" i="15" s="1"/>
  <c r="U651" i="15"/>
  <c r="AA651" i="15" s="1"/>
  <c r="V653" i="15"/>
  <c r="AB653" i="15" s="1"/>
  <c r="T651" i="15"/>
  <c r="Z651" i="15" s="1"/>
  <c r="T653" i="15"/>
  <c r="Z653" i="15" s="1"/>
  <c r="T652" i="15"/>
  <c r="Z652" i="15" s="1"/>
  <c r="AE656" i="15"/>
  <c r="AE655" i="15"/>
  <c r="U664" i="15"/>
  <c r="AA664" i="15" s="1"/>
  <c r="U695" i="15"/>
  <c r="AA695" i="15" s="1"/>
  <c r="T695" i="15"/>
  <c r="Z695" i="15" s="1"/>
  <c r="V694" i="15"/>
  <c r="AB694" i="15" s="1"/>
  <c r="V691" i="15"/>
  <c r="AB691" i="15" s="1"/>
  <c r="U694" i="15"/>
  <c r="AA694" i="15" s="1"/>
  <c r="U691" i="15"/>
  <c r="AA691" i="15" s="1"/>
  <c r="V696" i="15"/>
  <c r="AB696" i="15" s="1"/>
  <c r="T694" i="15"/>
  <c r="Z694" i="15" s="1"/>
  <c r="T691" i="15"/>
  <c r="Z691" i="15" s="1"/>
  <c r="U696" i="15"/>
  <c r="AA696" i="15" s="1"/>
  <c r="V693" i="15"/>
  <c r="AB693" i="15" s="1"/>
  <c r="V695" i="15"/>
  <c r="AB695" i="15" s="1"/>
  <c r="T693" i="15"/>
  <c r="Z693" i="15" s="1"/>
  <c r="U693" i="15"/>
  <c r="AA693" i="15" s="1"/>
  <c r="T696" i="15"/>
  <c r="Z696" i="15" s="1"/>
  <c r="U683" i="15"/>
  <c r="AA683" i="15" s="1"/>
  <c r="U736" i="15"/>
  <c r="AA736" i="15" s="1"/>
  <c r="V733" i="15"/>
  <c r="AB733" i="15" s="1"/>
  <c r="V738" i="15"/>
  <c r="AB738" i="15" s="1"/>
  <c r="T736" i="15"/>
  <c r="Z736" i="15" s="1"/>
  <c r="U733" i="15"/>
  <c r="AA733" i="15" s="1"/>
  <c r="U738" i="15"/>
  <c r="AA738" i="15" s="1"/>
  <c r="V735" i="15"/>
  <c r="AB735" i="15" s="1"/>
  <c r="T733" i="15"/>
  <c r="Z733" i="15" s="1"/>
  <c r="T738" i="15"/>
  <c r="Z738" i="15" s="1"/>
  <c r="U735" i="15"/>
  <c r="AA735" i="15" s="1"/>
  <c r="V737" i="15"/>
  <c r="AB737" i="15" s="1"/>
  <c r="T735" i="15"/>
  <c r="Z735" i="15" s="1"/>
  <c r="U737" i="15"/>
  <c r="AA737" i="15" s="1"/>
  <c r="V736" i="15"/>
  <c r="AB736" i="15" s="1"/>
  <c r="T629" i="15"/>
  <c r="Z629" i="15" s="1"/>
  <c r="T681" i="15"/>
  <c r="Z681" i="15" s="1"/>
  <c r="V683" i="15"/>
  <c r="AB683" i="15" s="1"/>
  <c r="T701" i="15"/>
  <c r="Z701" i="15" s="1"/>
  <c r="V700" i="15"/>
  <c r="AB700" i="15" s="1"/>
  <c r="V697" i="15"/>
  <c r="AB697" i="15" s="1"/>
  <c r="U700" i="15"/>
  <c r="AA700" i="15" s="1"/>
  <c r="U697" i="15"/>
  <c r="AA697" i="15" s="1"/>
  <c r="V702" i="15"/>
  <c r="AB702" i="15" s="1"/>
  <c r="T700" i="15"/>
  <c r="Z700" i="15" s="1"/>
  <c r="T697" i="15"/>
  <c r="Z697" i="15" s="1"/>
  <c r="U702" i="15"/>
  <c r="AA702" i="15" s="1"/>
  <c r="V699" i="15"/>
  <c r="AB699" i="15" s="1"/>
  <c r="T702" i="15"/>
  <c r="Z702" i="15" s="1"/>
  <c r="U699" i="15"/>
  <c r="AA699" i="15" s="1"/>
  <c r="U701" i="15"/>
  <c r="AA701" i="15" s="1"/>
  <c r="V701" i="15"/>
  <c r="AB701" i="15" s="1"/>
  <c r="T677" i="15"/>
  <c r="Z677" i="15" s="1"/>
  <c r="U681" i="15"/>
  <c r="AA681" i="15" s="1"/>
  <c r="T684" i="15"/>
  <c r="Z684" i="15" s="1"/>
  <c r="T713" i="15"/>
  <c r="Z713" i="15" s="1"/>
  <c r="V712" i="15"/>
  <c r="AB712" i="15" s="1"/>
  <c r="V709" i="15"/>
  <c r="AB709" i="15" s="1"/>
  <c r="U712" i="15"/>
  <c r="AA712" i="15" s="1"/>
  <c r="U709" i="15"/>
  <c r="AA709" i="15" s="1"/>
  <c r="V714" i="15"/>
  <c r="AB714" i="15" s="1"/>
  <c r="T712" i="15"/>
  <c r="Z712" i="15" s="1"/>
  <c r="T709" i="15"/>
  <c r="Z709" i="15" s="1"/>
  <c r="U714" i="15"/>
  <c r="AA714" i="15" s="1"/>
  <c r="V711" i="15"/>
  <c r="AB711" i="15" s="1"/>
  <c r="T714" i="15"/>
  <c r="Z714" i="15" s="1"/>
  <c r="U711" i="15"/>
  <c r="AA711" i="15" s="1"/>
  <c r="U713" i="15"/>
  <c r="AA713" i="15" s="1"/>
  <c r="V713" i="15"/>
  <c r="AB713" i="15" s="1"/>
  <c r="T627" i="15"/>
  <c r="Z627" i="15" s="1"/>
  <c r="V629" i="15"/>
  <c r="AB629" i="15" s="1"/>
  <c r="U677" i="15"/>
  <c r="AA677" i="15" s="1"/>
  <c r="T679" i="15"/>
  <c r="Z679" i="15" s="1"/>
  <c r="V681" i="15"/>
  <c r="AB681" i="15" s="1"/>
  <c r="U684" i="15"/>
  <c r="AA684" i="15" s="1"/>
  <c r="U708" i="15"/>
  <c r="AA708" i="15" s="1"/>
  <c r="V705" i="15"/>
  <c r="AB705" i="15" s="1"/>
  <c r="T708" i="15"/>
  <c r="Z708" i="15" s="1"/>
  <c r="U705" i="15"/>
  <c r="AA705" i="15" s="1"/>
  <c r="V707" i="15"/>
  <c r="AB707" i="15" s="1"/>
  <c r="T705" i="15"/>
  <c r="Z705" i="15" s="1"/>
  <c r="U707" i="15"/>
  <c r="AA707" i="15" s="1"/>
  <c r="T707" i="15"/>
  <c r="Z707" i="15" s="1"/>
  <c r="V706" i="15"/>
  <c r="AB706" i="15" s="1"/>
  <c r="V703" i="15"/>
  <c r="AB703" i="15" s="1"/>
  <c r="V708" i="15"/>
  <c r="AB708" i="15" s="1"/>
  <c r="T706" i="15"/>
  <c r="Z706" i="15" s="1"/>
  <c r="T703" i="15"/>
  <c r="Z703" i="15" s="1"/>
  <c r="V724" i="15"/>
  <c r="AB724" i="15" s="1"/>
  <c r="U724" i="15"/>
  <c r="AA724" i="15" s="1"/>
  <c r="V721" i="15"/>
  <c r="AB721" i="15" s="1"/>
  <c r="V726" i="15"/>
  <c r="AB726" i="15" s="1"/>
  <c r="T724" i="15"/>
  <c r="Z724" i="15" s="1"/>
  <c r="U721" i="15"/>
  <c r="AA721" i="15" s="1"/>
  <c r="U726" i="15"/>
  <c r="AA726" i="15" s="1"/>
  <c r="V723" i="15"/>
  <c r="AB723" i="15" s="1"/>
  <c r="T721" i="15"/>
  <c r="Z721" i="15" s="1"/>
  <c r="T726" i="15"/>
  <c r="Z726" i="15" s="1"/>
  <c r="U723" i="15"/>
  <c r="AA723" i="15" s="1"/>
  <c r="V725" i="15"/>
  <c r="AB725" i="15" s="1"/>
  <c r="T723" i="15"/>
  <c r="Z723" i="15" s="1"/>
  <c r="T725" i="15"/>
  <c r="Z725" i="15" s="1"/>
  <c r="U725" i="15"/>
  <c r="AA725" i="15" s="1"/>
  <c r="U627" i="15"/>
  <c r="AA627" i="15" s="1"/>
  <c r="T630" i="15"/>
  <c r="Z630" i="15" s="1"/>
  <c r="T675" i="15"/>
  <c r="Z675" i="15" s="1"/>
  <c r="V677" i="15"/>
  <c r="AB677" i="15" s="1"/>
  <c r="U679" i="15"/>
  <c r="AA679" i="15" s="1"/>
  <c r="T682" i="15"/>
  <c r="Z682" i="15" s="1"/>
  <c r="V684" i="15"/>
  <c r="AB684" i="15" s="1"/>
  <c r="AE686" i="15"/>
  <c r="AE685" i="15"/>
  <c r="U720" i="15"/>
  <c r="AA720" i="15" s="1"/>
  <c r="V717" i="15"/>
  <c r="AB717" i="15" s="1"/>
  <c r="T720" i="15"/>
  <c r="Z720" i="15" s="1"/>
  <c r="U717" i="15"/>
  <c r="AA717" i="15" s="1"/>
  <c r="V719" i="15"/>
  <c r="AB719" i="15" s="1"/>
  <c r="T717" i="15"/>
  <c r="Z717" i="15" s="1"/>
  <c r="U719" i="15"/>
  <c r="AA719" i="15" s="1"/>
  <c r="T719" i="15"/>
  <c r="Z719" i="15" s="1"/>
  <c r="V718" i="15"/>
  <c r="AB718" i="15" s="1"/>
  <c r="V715" i="15"/>
  <c r="AB715" i="15" s="1"/>
  <c r="V720" i="15"/>
  <c r="AB720" i="15" s="1"/>
  <c r="T718" i="15"/>
  <c r="Z718" i="15" s="1"/>
  <c r="T715" i="15"/>
  <c r="Z715" i="15" s="1"/>
  <c r="V627" i="15"/>
  <c r="AB627" i="15" s="1"/>
  <c r="U675" i="15"/>
  <c r="AA675" i="15" s="1"/>
  <c r="V679" i="15"/>
  <c r="AB679" i="15" s="1"/>
  <c r="U703" i="15"/>
  <c r="AA703" i="15" s="1"/>
  <c r="U685" i="15"/>
  <c r="AA685" i="15" s="1"/>
  <c r="U688" i="15"/>
  <c r="AA688" i="15" s="1"/>
  <c r="AE722" i="15"/>
  <c r="V729" i="15"/>
  <c r="AB729" i="15" s="1"/>
  <c r="U732" i="15"/>
  <c r="AA732" i="15" s="1"/>
  <c r="AF732" i="15" s="1"/>
  <c r="T689" i="15"/>
  <c r="Z689" i="15" s="1"/>
  <c r="U730" i="15"/>
  <c r="AA730" i="15" s="1"/>
  <c r="V730" i="15"/>
  <c r="AB730" i="15" s="1"/>
  <c r="T687" i="15"/>
  <c r="Z687" i="15" s="1"/>
  <c r="V689" i="15"/>
  <c r="AB689" i="15" s="1"/>
  <c r="AE691" i="15"/>
  <c r="T731" i="15"/>
  <c r="Z731" i="15" s="1"/>
  <c r="U687" i="15"/>
  <c r="AA687" i="15" s="1"/>
  <c r="T690" i="15"/>
  <c r="Z690" i="15" s="1"/>
  <c r="AF690" i="15" s="1"/>
  <c r="U731" i="15"/>
  <c r="AA731" i="15" s="1"/>
  <c r="V687" i="15"/>
  <c r="AB687" i="15" s="1"/>
  <c r="T729" i="15"/>
  <c r="Z729" i="15" s="1"/>
  <c r="V731" i="15"/>
  <c r="AB731" i="15" s="1"/>
  <c r="U729" i="15"/>
  <c r="AA729" i="15" s="1"/>
  <c r="AA562" i="15"/>
  <c r="T502" i="15"/>
  <c r="Z502" i="15" s="1"/>
  <c r="U502" i="15"/>
  <c r="AA502" i="15" s="1"/>
  <c r="V500" i="15"/>
  <c r="AB500" i="15" s="1"/>
  <c r="V503" i="15"/>
  <c r="AB503" i="15" s="1"/>
  <c r="U503" i="15"/>
  <c r="AA503" i="15" s="1"/>
  <c r="T503" i="15"/>
  <c r="Z503" i="15" s="1"/>
  <c r="V501" i="15"/>
  <c r="AB501" i="15" s="1"/>
  <c r="V498" i="15"/>
  <c r="AB498" i="15" s="1"/>
  <c r="V502" i="15"/>
  <c r="AB502" i="15" s="1"/>
  <c r="T442" i="15"/>
  <c r="Z442" i="15" s="1"/>
  <c r="V441" i="15"/>
  <c r="AB441" i="15" s="1"/>
  <c r="V438" i="15"/>
  <c r="AB438" i="15" s="1"/>
  <c r="T509" i="15"/>
  <c r="Z509" i="15" s="1"/>
  <c r="V509" i="15"/>
  <c r="AB509" i="15" s="1"/>
  <c r="U504" i="15"/>
  <c r="AA504" i="15" s="1"/>
  <c r="U508" i="15"/>
  <c r="AA508" i="15" s="1"/>
  <c r="U509" i="15"/>
  <c r="AA509" i="15" s="1"/>
  <c r="T504" i="15"/>
  <c r="Z504" i="15" s="1"/>
  <c r="V506" i="15"/>
  <c r="AB506" i="15" s="1"/>
  <c r="U507" i="15"/>
  <c r="AA507" i="15" s="1"/>
  <c r="V507" i="15"/>
  <c r="AB507" i="15" s="1"/>
  <c r="T508" i="15"/>
  <c r="Z508" i="15" s="1"/>
  <c r="T507" i="15"/>
  <c r="Z507" i="15" s="1"/>
  <c r="V504" i="15"/>
  <c r="AB504" i="15" s="1"/>
  <c r="T485" i="15"/>
  <c r="Z485" i="15" s="1"/>
  <c r="V480" i="15"/>
  <c r="AB480" i="15" s="1"/>
  <c r="V485" i="15"/>
  <c r="AB485" i="15" s="1"/>
  <c r="U480" i="15"/>
  <c r="AA480" i="15" s="1"/>
  <c r="T483" i="15"/>
  <c r="Z483" i="15" s="1"/>
  <c r="U485" i="15"/>
  <c r="AA485" i="15" s="1"/>
  <c r="V482" i="15"/>
  <c r="AB482" i="15" s="1"/>
  <c r="T480" i="15"/>
  <c r="Z480" i="15" s="1"/>
  <c r="V483" i="15"/>
  <c r="AB483" i="15" s="1"/>
  <c r="U483" i="15"/>
  <c r="AA483" i="15" s="1"/>
  <c r="U484" i="15"/>
  <c r="AA484" i="15" s="1"/>
  <c r="T467" i="15"/>
  <c r="Z467" i="15" s="1"/>
  <c r="V466" i="15"/>
  <c r="AB466" i="15" s="1"/>
  <c r="T466" i="15"/>
  <c r="Z466" i="15" s="1"/>
  <c r="T581" i="15"/>
  <c r="Z581" i="15" s="1"/>
  <c r="V578" i="15"/>
  <c r="AB578" i="15" s="1"/>
  <c r="U576" i="15"/>
  <c r="AA576" i="15" s="1"/>
  <c r="U581" i="15"/>
  <c r="AA581" i="15" s="1"/>
  <c r="V576" i="15"/>
  <c r="AB576" i="15" s="1"/>
  <c r="T473" i="15"/>
  <c r="Z473" i="15" s="1"/>
  <c r="U471" i="15"/>
  <c r="AA471" i="15" s="1"/>
  <c r="T468" i="15"/>
  <c r="Z468" i="15" s="1"/>
  <c r="T471" i="15"/>
  <c r="Z471" i="15" s="1"/>
  <c r="U473" i="15"/>
  <c r="AA473" i="15" s="1"/>
  <c r="V468" i="15"/>
  <c r="AB468" i="15" s="1"/>
  <c r="V473" i="15"/>
  <c r="AB473" i="15" s="1"/>
  <c r="V470" i="15"/>
  <c r="U468" i="15"/>
  <c r="AA468" i="15" s="1"/>
  <c r="V471" i="15"/>
  <c r="AB471" i="15" s="1"/>
  <c r="AE432" i="15"/>
  <c r="U519" i="15"/>
  <c r="AA519" i="15" s="1"/>
  <c r="AE565" i="15"/>
  <c r="AE487" i="15"/>
  <c r="AE511" i="15"/>
  <c r="AE516" i="15"/>
  <c r="V545" i="15"/>
  <c r="AB545" i="15" s="1"/>
  <c r="AE409" i="15"/>
  <c r="T412" i="15"/>
  <c r="Z412" i="15" s="1"/>
  <c r="AE463" i="15"/>
  <c r="V518" i="15"/>
  <c r="AB518" i="15" s="1"/>
  <c r="V557" i="15"/>
  <c r="AB557" i="15" s="1"/>
  <c r="U412" i="15"/>
  <c r="AA412" i="15" s="1"/>
  <c r="AE480" i="15"/>
  <c r="T516" i="15"/>
  <c r="Z516" i="15" s="1"/>
  <c r="U521" i="15"/>
  <c r="AA521" i="15" s="1"/>
  <c r="V569" i="15"/>
  <c r="AB569" i="15" s="1"/>
  <c r="AE582" i="15"/>
  <c r="AE456" i="15"/>
  <c r="U516" i="15"/>
  <c r="AA516" i="15" s="1"/>
  <c r="T520" i="15"/>
  <c r="Z520" i="15" s="1"/>
  <c r="AE576" i="15"/>
  <c r="AE499" i="15"/>
  <c r="V516" i="15"/>
  <c r="AB516" i="15" s="1"/>
  <c r="U520" i="15"/>
  <c r="AA520" i="15" s="1"/>
  <c r="AE347" i="15"/>
  <c r="AE421" i="15"/>
  <c r="T519" i="15"/>
  <c r="Z519" i="15" s="1"/>
  <c r="U455" i="15"/>
  <c r="AA455" i="15" s="1"/>
  <c r="V453" i="15"/>
  <c r="AB453" i="15" s="1"/>
  <c r="U453" i="15"/>
  <c r="AA453" i="15" s="1"/>
  <c r="T454" i="15"/>
  <c r="Z454" i="15" s="1"/>
  <c r="T453" i="15"/>
  <c r="Z453" i="15" s="1"/>
  <c r="V450" i="15"/>
  <c r="AB450" i="15" s="1"/>
  <c r="U450" i="15"/>
  <c r="AA450" i="15" s="1"/>
  <c r="V455" i="15"/>
  <c r="AB455" i="15" s="1"/>
  <c r="V434" i="15"/>
  <c r="AB434" i="15" s="1"/>
  <c r="U400" i="15"/>
  <c r="AA400" i="15" s="1"/>
  <c r="V404" i="15"/>
  <c r="AB404" i="15" s="1"/>
  <c r="V402" i="15"/>
  <c r="AB402" i="15" s="1"/>
  <c r="U407" i="15"/>
  <c r="AA407" i="15" s="1"/>
  <c r="V407" i="15"/>
  <c r="AB407" i="15" s="1"/>
  <c r="T406" i="15"/>
  <c r="Z406" i="15" s="1"/>
  <c r="T405" i="15"/>
  <c r="Z405" i="15" s="1"/>
  <c r="U405" i="15"/>
  <c r="AA405" i="15" s="1"/>
  <c r="V405" i="15"/>
  <c r="AB405" i="15" s="1"/>
  <c r="T402" i="15"/>
  <c r="Z402" i="15" s="1"/>
  <c r="U402" i="15"/>
  <c r="AA402" i="15" s="1"/>
  <c r="U429" i="15"/>
  <c r="AA429" i="15" s="1"/>
  <c r="V431" i="15"/>
  <c r="AB431" i="15" s="1"/>
  <c r="T429" i="15"/>
  <c r="Z429" i="15" s="1"/>
  <c r="U428" i="15"/>
  <c r="AA428" i="15" s="1"/>
  <c r="V426" i="15"/>
  <c r="AB426" i="15" s="1"/>
  <c r="T428" i="15"/>
  <c r="Z428" i="15" s="1"/>
  <c r="T431" i="15"/>
  <c r="Z431" i="15" s="1"/>
  <c r="U430" i="15"/>
  <c r="AA430" i="15" s="1"/>
  <c r="V429" i="15"/>
  <c r="AB429" i="15" s="1"/>
  <c r="T426" i="15"/>
  <c r="Z426" i="15" s="1"/>
  <c r="U431" i="15"/>
  <c r="AA431" i="15" s="1"/>
  <c r="V430" i="15"/>
  <c r="AB430" i="15" s="1"/>
  <c r="U426" i="15"/>
  <c r="AA426" i="15" s="1"/>
  <c r="T430" i="15"/>
  <c r="Z430" i="15" s="1"/>
  <c r="V428" i="15"/>
  <c r="AB428" i="15" s="1"/>
  <c r="V423" i="15"/>
  <c r="AB423" i="15" s="1"/>
  <c r="V420" i="15"/>
  <c r="AB420" i="15" s="1"/>
  <c r="T425" i="15"/>
  <c r="Z425" i="15" s="1"/>
  <c r="U424" i="15"/>
  <c r="AA424" i="15" s="1"/>
  <c r="T424" i="15"/>
  <c r="Z424" i="15" s="1"/>
  <c r="U423" i="15"/>
  <c r="AA423" i="15" s="1"/>
  <c r="U420" i="15"/>
  <c r="AA420" i="15" s="1"/>
  <c r="V425" i="15"/>
  <c r="AB425" i="15" s="1"/>
  <c r="T423" i="15"/>
  <c r="Z423" i="15" s="1"/>
  <c r="T420" i="15"/>
  <c r="Z420" i="15" s="1"/>
  <c r="U425" i="15"/>
  <c r="AA425" i="15" s="1"/>
  <c r="V422" i="15"/>
  <c r="AB422" i="15" s="1"/>
  <c r="U422" i="15"/>
  <c r="AA422" i="15" s="1"/>
  <c r="V424" i="15"/>
  <c r="AB424" i="15" s="1"/>
  <c r="T422" i="15"/>
  <c r="Z422" i="15" s="1"/>
  <c r="U448" i="15"/>
  <c r="AA448" i="15" s="1"/>
  <c r="T448" i="15"/>
  <c r="Z448" i="15" s="1"/>
  <c r="V447" i="15"/>
  <c r="AB447" i="15" s="1"/>
  <c r="V444" i="15"/>
  <c r="AB444" i="15" s="1"/>
  <c r="U447" i="15"/>
  <c r="AA447" i="15" s="1"/>
  <c r="U444" i="15"/>
  <c r="AA444" i="15" s="1"/>
  <c r="V446" i="15"/>
  <c r="AB446" i="15" s="1"/>
  <c r="V448" i="15"/>
  <c r="AB448" i="15" s="1"/>
  <c r="T447" i="15"/>
  <c r="Z447" i="15" s="1"/>
  <c r="U446" i="15"/>
  <c r="AA446" i="15" s="1"/>
  <c r="V449" i="15"/>
  <c r="AB449" i="15" s="1"/>
  <c r="T446" i="15"/>
  <c r="Z446" i="15" s="1"/>
  <c r="T444" i="15"/>
  <c r="Z444" i="15" s="1"/>
  <c r="U449" i="15"/>
  <c r="AA449" i="15" s="1"/>
  <c r="T449" i="15"/>
  <c r="Z449" i="15" s="1"/>
  <c r="T419" i="15"/>
  <c r="Z419" i="15" s="1"/>
  <c r="U416" i="15"/>
  <c r="AA416" i="15" s="1"/>
  <c r="V417" i="15"/>
  <c r="AB417" i="15" s="1"/>
  <c r="T417" i="15"/>
  <c r="Z417" i="15" s="1"/>
  <c r="V416" i="15"/>
  <c r="AB416" i="15" s="1"/>
  <c r="V418" i="15"/>
  <c r="AB418" i="15" s="1"/>
  <c r="T416" i="15"/>
  <c r="Z416" i="15" s="1"/>
  <c r="V414" i="15"/>
  <c r="AB414" i="15" s="1"/>
  <c r="T414" i="15"/>
  <c r="Z414" i="15" s="1"/>
  <c r="U418" i="15"/>
  <c r="AA418" i="15" s="1"/>
  <c r="V419" i="15"/>
  <c r="AB419" i="15" s="1"/>
  <c r="T418" i="15"/>
  <c r="Z418" i="15" s="1"/>
  <c r="U417" i="15"/>
  <c r="AA417" i="15" s="1"/>
  <c r="U414" i="15"/>
  <c r="AA414" i="15" s="1"/>
  <c r="U419" i="15"/>
  <c r="AA419" i="15" s="1"/>
  <c r="U477" i="15"/>
  <c r="AA477" i="15" s="1"/>
  <c r="V474" i="15"/>
  <c r="AB474" i="15" s="1"/>
  <c r="V479" i="15"/>
  <c r="AB479" i="15" s="1"/>
  <c r="T477" i="15"/>
  <c r="Z477" i="15" s="1"/>
  <c r="U474" i="15"/>
  <c r="AA474" i="15" s="1"/>
  <c r="U479" i="15"/>
  <c r="AA479" i="15" s="1"/>
  <c r="V476" i="15"/>
  <c r="AB476" i="15" s="1"/>
  <c r="T474" i="15"/>
  <c r="Z474" i="15" s="1"/>
  <c r="T479" i="15"/>
  <c r="Z479" i="15" s="1"/>
  <c r="U476" i="15"/>
  <c r="AA476" i="15" s="1"/>
  <c r="T478" i="15"/>
  <c r="Z478" i="15" s="1"/>
  <c r="T476" i="15"/>
  <c r="Z476" i="15" s="1"/>
  <c r="V477" i="15"/>
  <c r="AB477" i="15" s="1"/>
  <c r="V478" i="15"/>
  <c r="AB478" i="15" s="1"/>
  <c r="U478" i="15"/>
  <c r="AA478" i="15" s="1"/>
  <c r="AE559" i="15"/>
  <c r="AE558" i="15"/>
  <c r="V412" i="15"/>
  <c r="AB412" i="15" s="1"/>
  <c r="V436" i="15"/>
  <c r="AB436" i="15" s="1"/>
  <c r="T434" i="15"/>
  <c r="Z434" i="15" s="1"/>
  <c r="U436" i="15"/>
  <c r="AA436" i="15" s="1"/>
  <c r="T436" i="15"/>
  <c r="Z436" i="15" s="1"/>
  <c r="AE570" i="15"/>
  <c r="AE571" i="15"/>
  <c r="T461" i="15"/>
  <c r="Z461" i="15" s="1"/>
  <c r="U458" i="15"/>
  <c r="AA458" i="15" s="1"/>
  <c r="V460" i="15"/>
  <c r="AB460" i="15" s="1"/>
  <c r="T458" i="15"/>
  <c r="Z458" i="15" s="1"/>
  <c r="U460" i="15"/>
  <c r="AA460" i="15" s="1"/>
  <c r="T460" i="15"/>
  <c r="Z460" i="15" s="1"/>
  <c r="V461" i="15"/>
  <c r="AB461" i="15" s="1"/>
  <c r="T459" i="15"/>
  <c r="Z459" i="15" s="1"/>
  <c r="U456" i="15"/>
  <c r="AA456" i="15" s="1"/>
  <c r="U459" i="15"/>
  <c r="AA459" i="15" s="1"/>
  <c r="U489" i="15"/>
  <c r="AA489" i="15" s="1"/>
  <c r="V486" i="15"/>
  <c r="AB486" i="15" s="1"/>
  <c r="V491" i="15"/>
  <c r="AB491" i="15" s="1"/>
  <c r="T489" i="15"/>
  <c r="Z489" i="15" s="1"/>
  <c r="U486" i="15"/>
  <c r="AA486" i="15" s="1"/>
  <c r="U491" i="15"/>
  <c r="AA491" i="15" s="1"/>
  <c r="V488" i="15"/>
  <c r="AB488" i="15" s="1"/>
  <c r="T486" i="15"/>
  <c r="Z486" i="15" s="1"/>
  <c r="T491" i="15"/>
  <c r="Z491" i="15" s="1"/>
  <c r="U488" i="15"/>
  <c r="AA488" i="15" s="1"/>
  <c r="V490" i="15"/>
  <c r="AB490" i="15" s="1"/>
  <c r="T488" i="15"/>
  <c r="Z488" i="15" s="1"/>
  <c r="U490" i="15"/>
  <c r="AA490" i="15" s="1"/>
  <c r="V489" i="15"/>
  <c r="AB489" i="15" s="1"/>
  <c r="T401" i="15"/>
  <c r="Z401" i="15" s="1"/>
  <c r="T410" i="15"/>
  <c r="Z410" i="15" s="1"/>
  <c r="V401" i="15"/>
  <c r="AB401" i="15" s="1"/>
  <c r="V410" i="15"/>
  <c r="AB410" i="15" s="1"/>
  <c r="U413" i="15"/>
  <c r="AA413" i="15" s="1"/>
  <c r="T432" i="15"/>
  <c r="Z432" i="15" s="1"/>
  <c r="V459" i="15"/>
  <c r="AB459" i="15" s="1"/>
  <c r="T490" i="15"/>
  <c r="Z490" i="15" s="1"/>
  <c r="U398" i="15"/>
  <c r="AA398" i="15" s="1"/>
  <c r="U410" i="15"/>
  <c r="AA410" i="15" s="1"/>
  <c r="T413" i="15"/>
  <c r="Z413" i="15" s="1"/>
  <c r="U396" i="15"/>
  <c r="AA396" i="15" s="1"/>
  <c r="AE396" i="15"/>
  <c r="U399" i="15"/>
  <c r="AA399" i="15" s="1"/>
  <c r="U406" i="15"/>
  <c r="AA406" i="15" s="1"/>
  <c r="T408" i="15"/>
  <c r="Z408" i="15" s="1"/>
  <c r="T411" i="15"/>
  <c r="Z411" i="15" s="1"/>
  <c r="V413" i="15"/>
  <c r="AB413" i="15" s="1"/>
  <c r="U432" i="15"/>
  <c r="AA432" i="15" s="1"/>
  <c r="T437" i="15"/>
  <c r="Z437" i="15" s="1"/>
  <c r="AE450" i="15"/>
  <c r="T456" i="15"/>
  <c r="Z456" i="15" s="1"/>
  <c r="V465" i="15"/>
  <c r="AB465" i="15" s="1"/>
  <c r="V462" i="15"/>
  <c r="AB462" i="15" s="1"/>
  <c r="U465" i="15"/>
  <c r="AA465" i="15" s="1"/>
  <c r="U462" i="15"/>
  <c r="AA462" i="15" s="1"/>
  <c r="V467" i="15"/>
  <c r="AB467" i="15" s="1"/>
  <c r="T465" i="15"/>
  <c r="Z465" i="15" s="1"/>
  <c r="T462" i="15"/>
  <c r="Z462" i="15" s="1"/>
  <c r="U467" i="15"/>
  <c r="AA467" i="15" s="1"/>
  <c r="V464" i="15"/>
  <c r="AB464" i="15" s="1"/>
  <c r="U466" i="15"/>
  <c r="AA466" i="15" s="1"/>
  <c r="T464" i="15"/>
  <c r="Z464" i="15" s="1"/>
  <c r="AB470" i="15"/>
  <c r="V496" i="15"/>
  <c r="AB496" i="15" s="1"/>
  <c r="T494" i="15"/>
  <c r="Z494" i="15" s="1"/>
  <c r="U496" i="15"/>
  <c r="AA496" i="15" s="1"/>
  <c r="T496" i="15"/>
  <c r="Z496" i="15" s="1"/>
  <c r="V495" i="15"/>
  <c r="AB495" i="15" s="1"/>
  <c r="V492" i="15"/>
  <c r="AB492" i="15" s="1"/>
  <c r="U495" i="15"/>
  <c r="AA495" i="15" s="1"/>
  <c r="U492" i="15"/>
  <c r="AA492" i="15" s="1"/>
  <c r="V497" i="15"/>
  <c r="AB497" i="15" s="1"/>
  <c r="T495" i="15"/>
  <c r="Z495" i="15" s="1"/>
  <c r="T492" i="15"/>
  <c r="Z492" i="15" s="1"/>
  <c r="T497" i="15"/>
  <c r="Z497" i="15" s="1"/>
  <c r="U494" i="15"/>
  <c r="AA494" i="15" s="1"/>
  <c r="V494" i="15"/>
  <c r="AB494" i="15" s="1"/>
  <c r="T526" i="15"/>
  <c r="Z526" i="15" s="1"/>
  <c r="V525" i="15"/>
  <c r="AB525" i="15" s="1"/>
  <c r="U525" i="15"/>
  <c r="AA525" i="15" s="1"/>
  <c r="V522" i="15"/>
  <c r="AB522" i="15" s="1"/>
  <c r="V527" i="15"/>
  <c r="AB527" i="15" s="1"/>
  <c r="T525" i="15"/>
  <c r="Z525" i="15" s="1"/>
  <c r="U522" i="15"/>
  <c r="AA522" i="15" s="1"/>
  <c r="U527" i="15"/>
  <c r="AA527" i="15" s="1"/>
  <c r="V524" i="15"/>
  <c r="AB524" i="15" s="1"/>
  <c r="T522" i="15"/>
  <c r="Z522" i="15" s="1"/>
  <c r="T527" i="15"/>
  <c r="Z527" i="15" s="1"/>
  <c r="U524" i="15"/>
  <c r="AA524" i="15" s="1"/>
  <c r="V526" i="15"/>
  <c r="AB526" i="15" s="1"/>
  <c r="T524" i="15"/>
  <c r="Z524" i="15" s="1"/>
  <c r="T398" i="15"/>
  <c r="Z398" i="15" s="1"/>
  <c r="V400" i="15"/>
  <c r="AB400" i="15" s="1"/>
  <c r="AF400" i="15" s="1"/>
  <c r="V396" i="15"/>
  <c r="AB396" i="15" s="1"/>
  <c r="V399" i="15"/>
  <c r="AB399" i="15" s="1"/>
  <c r="T404" i="15"/>
  <c r="Z404" i="15" s="1"/>
  <c r="V406" i="15"/>
  <c r="AB406" i="15" s="1"/>
  <c r="U408" i="15"/>
  <c r="AA408" i="15" s="1"/>
  <c r="U411" i="15"/>
  <c r="AA411" i="15" s="1"/>
  <c r="V432" i="15"/>
  <c r="AB432" i="15" s="1"/>
  <c r="T435" i="15"/>
  <c r="Z435" i="15" s="1"/>
  <c r="U437" i="15"/>
  <c r="AA437" i="15" s="1"/>
  <c r="V443" i="15"/>
  <c r="AB443" i="15" s="1"/>
  <c r="T441" i="15"/>
  <c r="Z441" i="15" s="1"/>
  <c r="U438" i="15"/>
  <c r="AA438" i="15" s="1"/>
  <c r="U443" i="15"/>
  <c r="AA443" i="15" s="1"/>
  <c r="V440" i="15"/>
  <c r="AB440" i="15" s="1"/>
  <c r="T438" i="15"/>
  <c r="Z438" i="15" s="1"/>
  <c r="T443" i="15"/>
  <c r="Z443" i="15" s="1"/>
  <c r="U440" i="15"/>
  <c r="AA440" i="15" s="1"/>
  <c r="V442" i="15"/>
  <c r="AB442" i="15" s="1"/>
  <c r="T440" i="15"/>
  <c r="Z440" i="15" s="1"/>
  <c r="U441" i="15"/>
  <c r="AA441" i="15" s="1"/>
  <c r="U442" i="15"/>
  <c r="AA442" i="15" s="1"/>
  <c r="V456" i="15"/>
  <c r="AB456" i="15" s="1"/>
  <c r="V458" i="15"/>
  <c r="AB458" i="15" s="1"/>
  <c r="U464" i="15"/>
  <c r="AA464" i="15" s="1"/>
  <c r="V398" i="15"/>
  <c r="AB398" i="15" s="1"/>
  <c r="U401" i="15"/>
  <c r="AA401" i="15" s="1"/>
  <c r="T396" i="15"/>
  <c r="Z396" i="15" s="1"/>
  <c r="T399" i="15"/>
  <c r="Z399" i="15" s="1"/>
  <c r="U404" i="15"/>
  <c r="AA404" i="15" s="1"/>
  <c r="V408" i="15"/>
  <c r="AB408" i="15" s="1"/>
  <c r="U434" i="15"/>
  <c r="AA434" i="15" s="1"/>
  <c r="U435" i="15"/>
  <c r="AA435" i="15" s="1"/>
  <c r="V437" i="15"/>
  <c r="AB437" i="15" s="1"/>
  <c r="AE439" i="15"/>
  <c r="U514" i="15"/>
  <c r="AA514" i="15" s="1"/>
  <c r="T514" i="15"/>
  <c r="Z514" i="15" s="1"/>
  <c r="V513" i="15"/>
  <c r="AB513" i="15" s="1"/>
  <c r="V510" i="15"/>
  <c r="AB510" i="15" s="1"/>
  <c r="U513" i="15"/>
  <c r="AA513" i="15" s="1"/>
  <c r="U510" i="15"/>
  <c r="AA510" i="15" s="1"/>
  <c r="U515" i="15"/>
  <c r="AA515" i="15" s="1"/>
  <c r="V512" i="15"/>
  <c r="AB512" i="15" s="1"/>
  <c r="T515" i="15"/>
  <c r="Z515" i="15" s="1"/>
  <c r="U512" i="15"/>
  <c r="AA512" i="15" s="1"/>
  <c r="V514" i="15"/>
  <c r="AB514" i="15" s="1"/>
  <c r="T510" i="15"/>
  <c r="Z510" i="15" s="1"/>
  <c r="V515" i="15"/>
  <c r="AB515" i="15" s="1"/>
  <c r="T512" i="15"/>
  <c r="Z512" i="15" s="1"/>
  <c r="T513" i="15"/>
  <c r="Z513" i="15" s="1"/>
  <c r="AE475" i="15"/>
  <c r="AE505" i="15"/>
  <c r="AE547" i="15"/>
  <c r="AE546" i="15"/>
  <c r="U585" i="15"/>
  <c r="AA585" i="15" s="1"/>
  <c r="V582" i="15"/>
  <c r="AB582" i="15" s="1"/>
  <c r="V587" i="15"/>
  <c r="AB587" i="15" s="1"/>
  <c r="T585" i="15"/>
  <c r="Z585" i="15" s="1"/>
  <c r="U582" i="15"/>
  <c r="AA582" i="15" s="1"/>
  <c r="U587" i="15"/>
  <c r="AA587" i="15" s="1"/>
  <c r="V584" i="15"/>
  <c r="AB584" i="15" s="1"/>
  <c r="T582" i="15"/>
  <c r="Z582" i="15" s="1"/>
  <c r="T587" i="15"/>
  <c r="Z587" i="15" s="1"/>
  <c r="U584" i="15"/>
  <c r="AA584" i="15" s="1"/>
  <c r="V586" i="15"/>
  <c r="AB586" i="15" s="1"/>
  <c r="T584" i="15"/>
  <c r="Z584" i="15" s="1"/>
  <c r="U586" i="15"/>
  <c r="AA586" i="15" s="1"/>
  <c r="T586" i="15"/>
  <c r="Z586" i="15" s="1"/>
  <c r="U454" i="15"/>
  <c r="AA454" i="15" s="1"/>
  <c r="T472" i="15"/>
  <c r="Z472" i="15" s="1"/>
  <c r="T500" i="15"/>
  <c r="Z500" i="15" s="1"/>
  <c r="U533" i="15"/>
  <c r="AA533" i="15" s="1"/>
  <c r="V530" i="15"/>
  <c r="AB530" i="15" s="1"/>
  <c r="T533" i="15"/>
  <c r="Z533" i="15" s="1"/>
  <c r="U530" i="15"/>
  <c r="AA530" i="15" s="1"/>
  <c r="V532" i="15"/>
  <c r="AB532" i="15" s="1"/>
  <c r="T530" i="15"/>
  <c r="Z530" i="15" s="1"/>
  <c r="U532" i="15"/>
  <c r="AA532" i="15" s="1"/>
  <c r="T532" i="15"/>
  <c r="Z532" i="15" s="1"/>
  <c r="V531" i="15"/>
  <c r="AB531" i="15" s="1"/>
  <c r="V528" i="15"/>
  <c r="AB528" i="15" s="1"/>
  <c r="U531" i="15"/>
  <c r="AA531" i="15" s="1"/>
  <c r="U528" i="15"/>
  <c r="AA528" i="15" s="1"/>
  <c r="T452" i="15"/>
  <c r="Z452" i="15" s="1"/>
  <c r="V454" i="15"/>
  <c r="AB454" i="15" s="1"/>
  <c r="U472" i="15"/>
  <c r="AA472" i="15" s="1"/>
  <c r="T484" i="15"/>
  <c r="Z484" i="15" s="1"/>
  <c r="U500" i="15"/>
  <c r="AA500" i="15" s="1"/>
  <c r="T538" i="15"/>
  <c r="Z538" i="15" s="1"/>
  <c r="V537" i="15"/>
  <c r="AB537" i="15" s="1"/>
  <c r="V534" i="15"/>
  <c r="AB534" i="15" s="1"/>
  <c r="U537" i="15"/>
  <c r="AA537" i="15" s="1"/>
  <c r="U534" i="15"/>
  <c r="AA534" i="15" s="1"/>
  <c r="V539" i="15"/>
  <c r="AB539" i="15" s="1"/>
  <c r="T537" i="15"/>
  <c r="Z537" i="15" s="1"/>
  <c r="T534" i="15"/>
  <c r="Z534" i="15" s="1"/>
  <c r="U539" i="15"/>
  <c r="AA539" i="15" s="1"/>
  <c r="V536" i="15"/>
  <c r="AB536" i="15" s="1"/>
  <c r="T539" i="15"/>
  <c r="Z539" i="15" s="1"/>
  <c r="U536" i="15"/>
  <c r="AA536" i="15" s="1"/>
  <c r="V538" i="15"/>
  <c r="AB538" i="15" s="1"/>
  <c r="T536" i="15"/>
  <c r="Z536" i="15" s="1"/>
  <c r="U545" i="15"/>
  <c r="AA545" i="15" s="1"/>
  <c r="V542" i="15"/>
  <c r="AB542" i="15" s="1"/>
  <c r="T545" i="15"/>
  <c r="Z545" i="15" s="1"/>
  <c r="AF545" i="15" s="1"/>
  <c r="U542" i="15"/>
  <c r="AA542" i="15" s="1"/>
  <c r="V544" i="15"/>
  <c r="AB544" i="15" s="1"/>
  <c r="T542" i="15"/>
  <c r="Z542" i="15" s="1"/>
  <c r="U544" i="15"/>
  <c r="AA544" i="15" s="1"/>
  <c r="T544" i="15"/>
  <c r="Z544" i="15" s="1"/>
  <c r="V543" i="15"/>
  <c r="AB543" i="15" s="1"/>
  <c r="V540" i="15"/>
  <c r="AB540" i="15" s="1"/>
  <c r="U543" i="15"/>
  <c r="AA543" i="15" s="1"/>
  <c r="AF543" i="15" s="1"/>
  <c r="U540" i="15"/>
  <c r="AA540" i="15" s="1"/>
  <c r="V585" i="15"/>
  <c r="AB585" i="15" s="1"/>
  <c r="U452" i="15"/>
  <c r="AA452" i="15" s="1"/>
  <c r="T455" i="15"/>
  <c r="Z455" i="15" s="1"/>
  <c r="T470" i="15"/>
  <c r="Z470" i="15" s="1"/>
  <c r="V472" i="15"/>
  <c r="AB472" i="15" s="1"/>
  <c r="T550" i="15"/>
  <c r="Z550" i="15" s="1"/>
  <c r="V549" i="15"/>
  <c r="AB549" i="15" s="1"/>
  <c r="V546" i="15"/>
  <c r="AB546" i="15" s="1"/>
  <c r="U549" i="15"/>
  <c r="AA549" i="15" s="1"/>
  <c r="U546" i="15"/>
  <c r="AA546" i="15" s="1"/>
  <c r="V551" i="15"/>
  <c r="AB551" i="15" s="1"/>
  <c r="T549" i="15"/>
  <c r="Z549" i="15" s="1"/>
  <c r="T546" i="15"/>
  <c r="Z546" i="15" s="1"/>
  <c r="U551" i="15"/>
  <c r="AA551" i="15" s="1"/>
  <c r="V548" i="15"/>
  <c r="AB548" i="15" s="1"/>
  <c r="T551" i="15"/>
  <c r="Z551" i="15" s="1"/>
  <c r="U548" i="15"/>
  <c r="AA548" i="15" s="1"/>
  <c r="V550" i="15"/>
  <c r="AB550" i="15" s="1"/>
  <c r="T548" i="15"/>
  <c r="Z548" i="15" s="1"/>
  <c r="U557" i="15"/>
  <c r="AA557" i="15" s="1"/>
  <c r="V554" i="15"/>
  <c r="AB554" i="15" s="1"/>
  <c r="T557" i="15"/>
  <c r="Z557" i="15" s="1"/>
  <c r="U554" i="15"/>
  <c r="AA554" i="15" s="1"/>
  <c r="V556" i="15"/>
  <c r="AB556" i="15" s="1"/>
  <c r="T554" i="15"/>
  <c r="Z554" i="15" s="1"/>
  <c r="U556" i="15"/>
  <c r="AA556" i="15" s="1"/>
  <c r="T556" i="15"/>
  <c r="Z556" i="15" s="1"/>
  <c r="V555" i="15"/>
  <c r="AB555" i="15" s="1"/>
  <c r="V552" i="15"/>
  <c r="AB552" i="15" s="1"/>
  <c r="U555" i="15"/>
  <c r="AA555" i="15" s="1"/>
  <c r="U552" i="15"/>
  <c r="AA552" i="15" s="1"/>
  <c r="U569" i="15"/>
  <c r="AA569" i="15" s="1"/>
  <c r="V566" i="15"/>
  <c r="AB566" i="15" s="1"/>
  <c r="T569" i="15"/>
  <c r="Z569" i="15" s="1"/>
  <c r="U566" i="15"/>
  <c r="AA566" i="15" s="1"/>
  <c r="V568" i="15"/>
  <c r="AB568" i="15" s="1"/>
  <c r="T566" i="15"/>
  <c r="Z566" i="15" s="1"/>
  <c r="U568" i="15"/>
  <c r="AA568" i="15" s="1"/>
  <c r="T568" i="15"/>
  <c r="Z568" i="15" s="1"/>
  <c r="V567" i="15"/>
  <c r="AB567" i="15" s="1"/>
  <c r="V564" i="15"/>
  <c r="AB564" i="15" s="1"/>
  <c r="U567" i="15"/>
  <c r="AA567" i="15" s="1"/>
  <c r="U564" i="15"/>
  <c r="AA564" i="15" s="1"/>
  <c r="T450" i="15"/>
  <c r="Z450" i="15" s="1"/>
  <c r="V452" i="15"/>
  <c r="AB452" i="15" s="1"/>
  <c r="U470" i="15"/>
  <c r="AA470" i="15" s="1"/>
  <c r="T482" i="15"/>
  <c r="Z482" i="15" s="1"/>
  <c r="V484" i="15"/>
  <c r="AB484" i="15" s="1"/>
  <c r="T498" i="15"/>
  <c r="Z498" i="15" s="1"/>
  <c r="T501" i="15"/>
  <c r="Z501" i="15" s="1"/>
  <c r="T540" i="15"/>
  <c r="Z540" i="15" s="1"/>
  <c r="T562" i="15"/>
  <c r="Z562" i="15" s="1"/>
  <c r="V561" i="15"/>
  <c r="AB561" i="15" s="1"/>
  <c r="V558" i="15"/>
  <c r="AB558" i="15" s="1"/>
  <c r="U561" i="15"/>
  <c r="AA561" i="15" s="1"/>
  <c r="U558" i="15"/>
  <c r="AA558" i="15" s="1"/>
  <c r="V563" i="15"/>
  <c r="AB563" i="15" s="1"/>
  <c r="T561" i="15"/>
  <c r="Z561" i="15" s="1"/>
  <c r="T558" i="15"/>
  <c r="Z558" i="15" s="1"/>
  <c r="U563" i="15"/>
  <c r="AA563" i="15" s="1"/>
  <c r="V560" i="15"/>
  <c r="AB560" i="15" s="1"/>
  <c r="T563" i="15"/>
  <c r="Z563" i="15" s="1"/>
  <c r="U560" i="15"/>
  <c r="AA560" i="15" s="1"/>
  <c r="V562" i="15"/>
  <c r="AB562" i="15" s="1"/>
  <c r="T560" i="15"/>
  <c r="Z560" i="15" s="1"/>
  <c r="V573" i="15"/>
  <c r="AB573" i="15" s="1"/>
  <c r="U573" i="15"/>
  <c r="AA573" i="15" s="1"/>
  <c r="V570" i="15"/>
  <c r="AB570" i="15" s="1"/>
  <c r="V575" i="15"/>
  <c r="AB575" i="15" s="1"/>
  <c r="T573" i="15"/>
  <c r="Z573" i="15" s="1"/>
  <c r="U570" i="15"/>
  <c r="AA570" i="15" s="1"/>
  <c r="U575" i="15"/>
  <c r="AA575" i="15" s="1"/>
  <c r="V572" i="15"/>
  <c r="AB572" i="15" s="1"/>
  <c r="T570" i="15"/>
  <c r="Z570" i="15" s="1"/>
  <c r="T575" i="15"/>
  <c r="Z575" i="15" s="1"/>
  <c r="U572" i="15"/>
  <c r="AA572" i="15" s="1"/>
  <c r="V574" i="15"/>
  <c r="AB574" i="15" s="1"/>
  <c r="T572" i="15"/>
  <c r="Z572" i="15" s="1"/>
  <c r="U574" i="15"/>
  <c r="AA574" i="15" s="1"/>
  <c r="U482" i="15"/>
  <c r="AA482" i="15" s="1"/>
  <c r="U498" i="15"/>
  <c r="AA498" i="15" s="1"/>
  <c r="U501" i="15"/>
  <c r="AA501" i="15" s="1"/>
  <c r="T531" i="15"/>
  <c r="Z531" i="15" s="1"/>
  <c r="V533" i="15"/>
  <c r="AB533" i="15" s="1"/>
  <c r="AE535" i="15"/>
  <c r="AE534" i="15"/>
  <c r="T552" i="15"/>
  <c r="Z552" i="15" s="1"/>
  <c r="T564" i="15"/>
  <c r="Z564" i="15" s="1"/>
  <c r="V519" i="15"/>
  <c r="AB519" i="15" s="1"/>
  <c r="T576" i="15"/>
  <c r="Z576" i="15" s="1"/>
  <c r="T579" i="15"/>
  <c r="Z579" i="15" s="1"/>
  <c r="V581" i="15"/>
  <c r="AB581" i="15" s="1"/>
  <c r="U579" i="15"/>
  <c r="AA579" i="15" s="1"/>
  <c r="V579" i="15"/>
  <c r="AB579" i="15" s="1"/>
  <c r="T506" i="15"/>
  <c r="Z506" i="15" s="1"/>
  <c r="V508" i="15"/>
  <c r="AB508" i="15" s="1"/>
  <c r="T518" i="15"/>
  <c r="Z518" i="15" s="1"/>
  <c r="V520" i="15"/>
  <c r="AB520" i="15" s="1"/>
  <c r="AE522" i="15"/>
  <c r="T580" i="15"/>
  <c r="Z580" i="15" s="1"/>
  <c r="U506" i="15"/>
  <c r="AA506" i="15" s="1"/>
  <c r="U518" i="15"/>
  <c r="AA518" i="15" s="1"/>
  <c r="T521" i="15"/>
  <c r="Z521" i="15" s="1"/>
  <c r="U580" i="15"/>
  <c r="AA580" i="15" s="1"/>
  <c r="T578" i="15"/>
  <c r="Z578" i="15" s="1"/>
  <c r="V580" i="15"/>
  <c r="AB580" i="15" s="1"/>
  <c r="U578" i="15"/>
  <c r="AA578" i="15" s="1"/>
  <c r="V349" i="15"/>
  <c r="AB349" i="15" s="1"/>
  <c r="U347" i="15"/>
  <c r="AA347" i="15" s="1"/>
  <c r="U351" i="15"/>
  <c r="AA351" i="15" s="1"/>
  <c r="T350" i="15"/>
  <c r="Z350" i="15" s="1"/>
  <c r="U350" i="15"/>
  <c r="AA350" i="15" s="1"/>
  <c r="U352" i="15"/>
  <c r="AA352" i="15" s="1"/>
  <c r="V352" i="15"/>
  <c r="AB352" i="15" s="1"/>
  <c r="T347" i="15"/>
  <c r="Z347" i="15" s="1"/>
  <c r="T351" i="15"/>
  <c r="Z351" i="15" s="1"/>
  <c r="V347" i="15"/>
  <c r="AB347" i="15" s="1"/>
  <c r="V350" i="15"/>
  <c r="AB350" i="15" s="1"/>
  <c r="T349" i="15"/>
  <c r="Z349" i="15" s="1"/>
  <c r="V351" i="15"/>
  <c r="AB351" i="15" s="1"/>
  <c r="U349" i="15"/>
  <c r="AA349" i="15" s="1"/>
  <c r="T338" i="15"/>
  <c r="Z338" i="15" s="1"/>
  <c r="V337" i="15"/>
  <c r="AB337" i="15" s="1"/>
  <c r="V335" i="15"/>
  <c r="AB335" i="15" s="1"/>
  <c r="V338" i="15"/>
  <c r="AB338" i="15" s="1"/>
  <c r="V340" i="15"/>
  <c r="AB340" i="15" s="1"/>
  <c r="U335" i="15"/>
  <c r="AA335" i="15" s="1"/>
  <c r="AE335" i="15"/>
  <c r="U338" i="15"/>
  <c r="AA338" i="15" s="1"/>
  <c r="T339" i="15"/>
  <c r="Z339" i="15" s="1"/>
  <c r="U339" i="15"/>
  <c r="AA339" i="15" s="1"/>
  <c r="T337" i="15"/>
  <c r="Z337" i="15" s="1"/>
  <c r="V339" i="15"/>
  <c r="AB339" i="15" s="1"/>
  <c r="U337" i="15"/>
  <c r="AA337" i="15" s="1"/>
  <c r="T340" i="15"/>
  <c r="Z340" i="15" s="1"/>
  <c r="U340" i="15"/>
  <c r="AA340" i="15" s="1"/>
  <c r="T335" i="15"/>
  <c r="Z335" i="15" s="1"/>
  <c r="T286" i="15"/>
  <c r="Z286" i="15" s="1"/>
  <c r="V283" i="15"/>
  <c r="AB283" i="15" s="1"/>
  <c r="T334" i="15"/>
  <c r="Z334" i="15" s="1"/>
  <c r="U333" i="15"/>
  <c r="AA333" i="15" s="1"/>
  <c r="T333" i="15"/>
  <c r="Z333" i="15" s="1"/>
  <c r="V331" i="15"/>
  <c r="AB331" i="15" s="1"/>
  <c r="U334" i="15"/>
  <c r="AA334" i="15" s="1"/>
  <c r="V332" i="15"/>
  <c r="AB332" i="15" s="1"/>
  <c r="V329" i="15"/>
  <c r="AB329" i="15" s="1"/>
  <c r="T329" i="15"/>
  <c r="Z329" i="15" s="1"/>
  <c r="T332" i="15"/>
  <c r="Z332" i="15" s="1"/>
  <c r="V334" i="15"/>
  <c r="AB334" i="15" s="1"/>
  <c r="U329" i="15"/>
  <c r="AA329" i="15" s="1"/>
  <c r="AE329" i="15"/>
  <c r="U332" i="15"/>
  <c r="AA332" i="15" s="1"/>
  <c r="T331" i="15"/>
  <c r="Z331" i="15" s="1"/>
  <c r="V333" i="15"/>
  <c r="AB333" i="15" s="1"/>
  <c r="U331" i="15"/>
  <c r="AA331" i="15" s="1"/>
  <c r="AE275" i="15"/>
  <c r="AE324" i="15"/>
  <c r="V281" i="15"/>
  <c r="AB281" i="15" s="1"/>
  <c r="U285" i="15"/>
  <c r="AA285" i="15" s="1"/>
  <c r="T328" i="15"/>
  <c r="Z328" i="15" s="1"/>
  <c r="V323" i="15"/>
  <c r="AB323" i="15" s="1"/>
  <c r="V325" i="15"/>
  <c r="AB325" i="15" s="1"/>
  <c r="U328" i="15"/>
  <c r="AA328" i="15" s="1"/>
  <c r="V326" i="15"/>
  <c r="AB326" i="15" s="1"/>
  <c r="T323" i="15"/>
  <c r="Z323" i="15" s="1"/>
  <c r="U327" i="15"/>
  <c r="AA327" i="15" s="1"/>
  <c r="T327" i="15"/>
  <c r="Z327" i="15" s="1"/>
  <c r="T326" i="15"/>
  <c r="Z326" i="15" s="1"/>
  <c r="V328" i="15"/>
  <c r="AB328" i="15" s="1"/>
  <c r="U323" i="15"/>
  <c r="AA323" i="15" s="1"/>
  <c r="U326" i="15"/>
  <c r="AA326" i="15" s="1"/>
  <c r="V327" i="15"/>
  <c r="AB327" i="15" s="1"/>
  <c r="T325" i="15"/>
  <c r="Z325" i="15" s="1"/>
  <c r="U325" i="15"/>
  <c r="AA325" i="15" s="1"/>
  <c r="V284" i="15"/>
  <c r="AB284" i="15" s="1"/>
  <c r="U286" i="15"/>
  <c r="AA286" i="15" s="1"/>
  <c r="T281" i="15"/>
  <c r="Z281" i="15" s="1"/>
  <c r="T284" i="15"/>
  <c r="Z284" i="15" s="1"/>
  <c r="V286" i="15"/>
  <c r="AB286" i="15" s="1"/>
  <c r="U281" i="15"/>
  <c r="AA281" i="15" s="1"/>
  <c r="AE281" i="15"/>
  <c r="U284" i="15"/>
  <c r="AA284" i="15" s="1"/>
  <c r="T285" i="15"/>
  <c r="Z285" i="15" s="1"/>
  <c r="T283" i="15"/>
  <c r="Z283" i="15" s="1"/>
  <c r="V285" i="15"/>
  <c r="AB285" i="15" s="1"/>
  <c r="U283" i="15"/>
  <c r="AA283" i="15" s="1"/>
  <c r="AB277" i="15"/>
  <c r="T275" i="15"/>
  <c r="Z275" i="15" s="1"/>
  <c r="U280" i="15"/>
  <c r="AA280" i="15" s="1"/>
  <c r="U275" i="15"/>
  <c r="AA275" i="15" s="1"/>
  <c r="T278" i="15"/>
  <c r="Z278" i="15" s="1"/>
  <c r="V280" i="15"/>
  <c r="AB280" i="15" s="1"/>
  <c r="V275" i="15"/>
  <c r="AB275" i="15" s="1"/>
  <c r="U278" i="15"/>
  <c r="AA278" i="15" s="1"/>
  <c r="V278" i="15"/>
  <c r="AB278" i="15" s="1"/>
  <c r="T279" i="15"/>
  <c r="Z279" i="15" s="1"/>
  <c r="V279" i="15"/>
  <c r="AB279" i="15" s="1"/>
  <c r="U279" i="15"/>
  <c r="AA279" i="15" s="1"/>
  <c r="T277" i="15"/>
  <c r="Z277" i="15" s="1"/>
  <c r="U277" i="15"/>
  <c r="AA277" i="15" s="1"/>
  <c r="T280" i="15"/>
  <c r="Z280" i="15" s="1"/>
  <c r="AE270" i="15"/>
  <c r="T272" i="15"/>
  <c r="Z272" i="15" s="1"/>
  <c r="U274" i="15"/>
  <c r="AA274" i="15" s="1"/>
  <c r="V271" i="15"/>
  <c r="AB271" i="15" s="1"/>
  <c r="T274" i="15"/>
  <c r="Z274" i="15" s="1"/>
  <c r="U271" i="15"/>
  <c r="AA271" i="15" s="1"/>
  <c r="U273" i="15"/>
  <c r="AA273" i="15" s="1"/>
  <c r="V273" i="15"/>
  <c r="AB273" i="15" s="1"/>
  <c r="T271" i="15"/>
  <c r="Z271" i="15" s="1"/>
  <c r="T273" i="15"/>
  <c r="Z273" i="15" s="1"/>
  <c r="U272" i="15"/>
  <c r="AA272" i="15" s="1"/>
  <c r="U269" i="15"/>
  <c r="AA269" i="15" s="1"/>
  <c r="V274" i="15"/>
  <c r="AB274" i="15" s="1"/>
  <c r="T269" i="15"/>
  <c r="Z269" i="15" s="1"/>
  <c r="V272" i="15"/>
  <c r="AB272" i="15" s="1"/>
  <c r="V269" i="15"/>
  <c r="AB269" i="15" s="1"/>
  <c r="V268" i="15"/>
  <c r="AB268" i="15" s="1"/>
  <c r="T266" i="15"/>
  <c r="Z266" i="15" s="1"/>
  <c r="T263" i="15"/>
  <c r="Z263" i="15" s="1"/>
  <c r="U268" i="15"/>
  <c r="AA268" i="15" s="1"/>
  <c r="V265" i="15"/>
  <c r="AB265" i="15" s="1"/>
  <c r="T268" i="15"/>
  <c r="Z268" i="15" s="1"/>
  <c r="U265" i="15"/>
  <c r="AA265" i="15" s="1"/>
  <c r="V267" i="15"/>
  <c r="AB267" i="15" s="1"/>
  <c r="T265" i="15"/>
  <c r="Z265" i="15" s="1"/>
  <c r="V266" i="15"/>
  <c r="AB266" i="15" s="1"/>
  <c r="V263" i="15"/>
  <c r="AB263" i="15" s="1"/>
  <c r="U267" i="15"/>
  <c r="AA267" i="15" s="1"/>
  <c r="T267" i="15"/>
  <c r="Z267" i="15" s="1"/>
  <c r="U266" i="15"/>
  <c r="AA266" i="15" s="1"/>
  <c r="U263" i="15"/>
  <c r="AA263" i="15" s="1"/>
  <c r="AE263" i="15"/>
  <c r="T262" i="15"/>
  <c r="Z262" i="15" s="1"/>
  <c r="U262" i="15"/>
  <c r="AA262" i="15" s="1"/>
  <c r="V260" i="15"/>
  <c r="AB260" i="15" s="1"/>
  <c r="U257" i="15"/>
  <c r="AA257" i="15" s="1"/>
  <c r="T257" i="15"/>
  <c r="Z257" i="15" s="1"/>
  <c r="T261" i="15"/>
  <c r="Z261" i="15" s="1"/>
  <c r="V259" i="15"/>
  <c r="AB259" i="15" s="1"/>
  <c r="T260" i="15"/>
  <c r="Z260" i="15" s="1"/>
  <c r="V262" i="15"/>
  <c r="AB262" i="15" s="1"/>
  <c r="V257" i="15"/>
  <c r="AB257" i="15" s="1"/>
  <c r="U260" i="15"/>
  <c r="AA260" i="15" s="1"/>
  <c r="AE258" i="15"/>
  <c r="T259" i="15"/>
  <c r="Z259" i="15" s="1"/>
  <c r="V261" i="15"/>
  <c r="AB261" i="15" s="1"/>
  <c r="U261" i="15"/>
  <c r="AA261" i="15" s="1"/>
  <c r="U259" i="15"/>
  <c r="AA259" i="15" s="1"/>
  <c r="Y394" i="15"/>
  <c r="X394" i="15"/>
  <c r="W394" i="15"/>
  <c r="V394" i="15"/>
  <c r="AB394" i="15" s="1"/>
  <c r="U394" i="15"/>
  <c r="AA394" i="15" s="1"/>
  <c r="T394" i="15"/>
  <c r="Z394" i="15" s="1"/>
  <c r="Y393" i="15"/>
  <c r="X393" i="15"/>
  <c r="W393" i="15"/>
  <c r="V393" i="15"/>
  <c r="AB393" i="15" s="1"/>
  <c r="U393" i="15"/>
  <c r="AA393" i="15" s="1"/>
  <c r="T393" i="15"/>
  <c r="Z393" i="15" s="1"/>
  <c r="Y392" i="15"/>
  <c r="X392" i="15"/>
  <c r="W392" i="15"/>
  <c r="V392" i="15"/>
  <c r="AB392" i="15" s="1"/>
  <c r="U392" i="15"/>
  <c r="AA392" i="15" s="1"/>
  <c r="T392" i="15"/>
  <c r="Z392" i="15" s="1"/>
  <c r="Y391" i="15"/>
  <c r="X391" i="15"/>
  <c r="W391" i="15"/>
  <c r="V391" i="15"/>
  <c r="AB391" i="15" s="1"/>
  <c r="U391" i="15"/>
  <c r="AA391" i="15" s="1"/>
  <c r="T391" i="15"/>
  <c r="Z391" i="15" s="1"/>
  <c r="Y389" i="15"/>
  <c r="X389" i="15"/>
  <c r="W389" i="15"/>
  <c r="V389" i="15"/>
  <c r="AB389" i="15" s="1"/>
  <c r="U389" i="15"/>
  <c r="AA389" i="15" s="1"/>
  <c r="T389" i="15"/>
  <c r="Z389" i="15" s="1"/>
  <c r="Y388" i="15"/>
  <c r="X388" i="15"/>
  <c r="AE388" i="15" s="1"/>
  <c r="W388" i="15"/>
  <c r="Y387" i="15"/>
  <c r="X387" i="15"/>
  <c r="AE387" i="15" s="1"/>
  <c r="W387" i="15"/>
  <c r="Y386" i="15"/>
  <c r="X386" i="15"/>
  <c r="AE386" i="15" s="1"/>
  <c r="W386" i="15"/>
  <c r="Y385" i="15"/>
  <c r="X385" i="15"/>
  <c r="AE385" i="15" s="1"/>
  <c r="W385" i="15"/>
  <c r="Y383" i="15"/>
  <c r="X383" i="15"/>
  <c r="AE383" i="15" s="1"/>
  <c r="W383" i="15"/>
  <c r="O383" i="15"/>
  <c r="K383" i="15"/>
  <c r="I383" i="15" s="1"/>
  <c r="Y382" i="15"/>
  <c r="X382" i="15"/>
  <c r="AE382" i="15" s="1"/>
  <c r="W382" i="15"/>
  <c r="Y381" i="15"/>
  <c r="X381" i="15"/>
  <c r="AE381" i="15" s="1"/>
  <c r="W381" i="15"/>
  <c r="Y380" i="15"/>
  <c r="X380" i="15"/>
  <c r="AE380" i="15" s="1"/>
  <c r="W380" i="15"/>
  <c r="Y379" i="15"/>
  <c r="X379" i="15"/>
  <c r="AE379" i="15" s="1"/>
  <c r="W379" i="15"/>
  <c r="Y377" i="15"/>
  <c r="X377" i="15"/>
  <c r="AE378" i="15" s="1"/>
  <c r="W377" i="15"/>
  <c r="O377" i="15"/>
  <c r="K377" i="15"/>
  <c r="I377" i="15" s="1"/>
  <c r="T382" i="15" s="1"/>
  <c r="Y376" i="15"/>
  <c r="X376" i="15"/>
  <c r="AE376" i="15" s="1"/>
  <c r="W376" i="15"/>
  <c r="Y375" i="15"/>
  <c r="X375" i="15"/>
  <c r="AE375" i="15" s="1"/>
  <c r="W375" i="15"/>
  <c r="Y374" i="15"/>
  <c r="X374" i="15"/>
  <c r="AE374" i="15" s="1"/>
  <c r="W374" i="15"/>
  <c r="Y373" i="15"/>
  <c r="X373" i="15"/>
  <c r="AE373" i="15" s="1"/>
  <c r="W373" i="15"/>
  <c r="Y371" i="15"/>
  <c r="X371" i="15"/>
  <c r="AE372" i="15" s="1"/>
  <c r="W371" i="15"/>
  <c r="O371" i="15"/>
  <c r="K371" i="15"/>
  <c r="I371" i="15" s="1"/>
  <c r="Y370" i="15"/>
  <c r="X370" i="15"/>
  <c r="AE370" i="15" s="1"/>
  <c r="W370" i="15"/>
  <c r="Y369" i="15"/>
  <c r="X369" i="15"/>
  <c r="AE369" i="15" s="1"/>
  <c r="W369" i="15"/>
  <c r="Y368" i="15"/>
  <c r="X368" i="15"/>
  <c r="AE368" i="15" s="1"/>
  <c r="W368" i="15"/>
  <c r="Y367" i="15"/>
  <c r="X367" i="15"/>
  <c r="AE367" i="15" s="1"/>
  <c r="W367" i="15"/>
  <c r="Y365" i="15"/>
  <c r="X365" i="15"/>
  <c r="AE366" i="15" s="1"/>
  <c r="W365" i="15"/>
  <c r="O365" i="15"/>
  <c r="K365" i="15"/>
  <c r="I365" i="15" s="1"/>
  <c r="U368" i="15" s="1"/>
  <c r="Y364" i="15"/>
  <c r="X364" i="15"/>
  <c r="AE364" i="15" s="1"/>
  <c r="W364" i="15"/>
  <c r="Y363" i="15"/>
  <c r="X363" i="15"/>
  <c r="AE363" i="15" s="1"/>
  <c r="W363" i="15"/>
  <c r="Y362" i="15"/>
  <c r="X362" i="15"/>
  <c r="AE362" i="15" s="1"/>
  <c r="W362" i="15"/>
  <c r="Y361" i="15"/>
  <c r="X361" i="15"/>
  <c r="AE361" i="15" s="1"/>
  <c r="W361" i="15"/>
  <c r="Y359" i="15"/>
  <c r="X359" i="15"/>
  <c r="AE360" i="15" s="1"/>
  <c r="W359" i="15"/>
  <c r="O359" i="15"/>
  <c r="K359" i="15"/>
  <c r="I359" i="15" s="1"/>
  <c r="Y358" i="15"/>
  <c r="X358" i="15"/>
  <c r="AE358" i="15" s="1"/>
  <c r="W358" i="15"/>
  <c r="Y357" i="15"/>
  <c r="X357" i="15"/>
  <c r="AE357" i="15" s="1"/>
  <c r="W357" i="15"/>
  <c r="Y356" i="15"/>
  <c r="X356" i="15"/>
  <c r="AE356" i="15" s="1"/>
  <c r="W356" i="15"/>
  <c r="Y355" i="15"/>
  <c r="X355" i="15"/>
  <c r="AE355" i="15" s="1"/>
  <c r="W355" i="15"/>
  <c r="Y353" i="15"/>
  <c r="X353" i="15"/>
  <c r="AE354" i="15" s="1"/>
  <c r="W353" i="15"/>
  <c r="O353" i="15"/>
  <c r="K353" i="15"/>
  <c r="I353" i="15" s="1"/>
  <c r="Y346" i="15"/>
  <c r="X346" i="15"/>
  <c r="AE346" i="15" s="1"/>
  <c r="W346" i="15"/>
  <c r="Y345" i="15"/>
  <c r="X345" i="15"/>
  <c r="AE345" i="15" s="1"/>
  <c r="W345" i="15"/>
  <c r="Y344" i="15"/>
  <c r="X344" i="15"/>
  <c r="AE344" i="15" s="1"/>
  <c r="W344" i="15"/>
  <c r="Y343" i="15"/>
  <c r="X343" i="15"/>
  <c r="AE343" i="15" s="1"/>
  <c r="W343" i="15"/>
  <c r="Y341" i="15"/>
  <c r="X341" i="15"/>
  <c r="AE342" i="15" s="1"/>
  <c r="W341" i="15"/>
  <c r="O341" i="15"/>
  <c r="K341" i="15"/>
  <c r="I341" i="15" s="1"/>
  <c r="V345" i="15" s="1"/>
  <c r="Y322" i="15"/>
  <c r="X322" i="15"/>
  <c r="AE322" i="15" s="1"/>
  <c r="W322" i="15"/>
  <c r="Y321" i="15"/>
  <c r="X321" i="15"/>
  <c r="AE321" i="15" s="1"/>
  <c r="W321" i="15"/>
  <c r="Y320" i="15"/>
  <c r="X320" i="15"/>
  <c r="AE320" i="15" s="1"/>
  <c r="W320" i="15"/>
  <c r="Y319" i="15"/>
  <c r="X319" i="15"/>
  <c r="AE319" i="15" s="1"/>
  <c r="W319" i="15"/>
  <c r="Y317" i="15"/>
  <c r="X317" i="15"/>
  <c r="AE318" i="15" s="1"/>
  <c r="W317" i="15"/>
  <c r="O317" i="15"/>
  <c r="K317" i="15"/>
  <c r="I317" i="15" s="1"/>
  <c r="T322" i="15" s="1"/>
  <c r="Y316" i="15"/>
  <c r="X316" i="15"/>
  <c r="AE316" i="15" s="1"/>
  <c r="W316" i="15"/>
  <c r="Y315" i="15"/>
  <c r="X315" i="15"/>
  <c r="AE315" i="15" s="1"/>
  <c r="W315" i="15"/>
  <c r="Y314" i="15"/>
  <c r="X314" i="15"/>
  <c r="AE314" i="15" s="1"/>
  <c r="W314" i="15"/>
  <c r="Y313" i="15"/>
  <c r="X313" i="15"/>
  <c r="AE313" i="15" s="1"/>
  <c r="W313" i="15"/>
  <c r="Y311" i="15"/>
  <c r="X311" i="15"/>
  <c r="AE311" i="15" s="1"/>
  <c r="W311" i="15"/>
  <c r="O311" i="15"/>
  <c r="K311" i="15"/>
  <c r="I311" i="15" s="1"/>
  <c r="V314" i="15" s="1"/>
  <c r="Y310" i="15"/>
  <c r="X310" i="15"/>
  <c r="AE310" i="15" s="1"/>
  <c r="W310" i="15"/>
  <c r="Y309" i="15"/>
  <c r="X309" i="15"/>
  <c r="AE309" i="15" s="1"/>
  <c r="W309" i="15"/>
  <c r="Y308" i="15"/>
  <c r="X308" i="15"/>
  <c r="AE308" i="15" s="1"/>
  <c r="W308" i="15"/>
  <c r="Y307" i="15"/>
  <c r="X307" i="15"/>
  <c r="AE307" i="15" s="1"/>
  <c r="W307" i="15"/>
  <c r="Y305" i="15"/>
  <c r="X305" i="15"/>
  <c r="AE306" i="15" s="1"/>
  <c r="W305" i="15"/>
  <c r="O305" i="15"/>
  <c r="K305" i="15"/>
  <c r="I305" i="15" s="1"/>
  <c r="T310" i="15" s="1"/>
  <c r="Y304" i="15"/>
  <c r="X304" i="15"/>
  <c r="AE304" i="15" s="1"/>
  <c r="W304" i="15"/>
  <c r="Y303" i="15"/>
  <c r="X303" i="15"/>
  <c r="AE303" i="15" s="1"/>
  <c r="W303" i="15"/>
  <c r="Y302" i="15"/>
  <c r="X302" i="15"/>
  <c r="AE302" i="15" s="1"/>
  <c r="W302" i="15"/>
  <c r="Y301" i="15"/>
  <c r="X301" i="15"/>
  <c r="AE301" i="15" s="1"/>
  <c r="W301" i="15"/>
  <c r="Y299" i="15"/>
  <c r="X299" i="15"/>
  <c r="AE299" i="15" s="1"/>
  <c r="W299" i="15"/>
  <c r="O299" i="15"/>
  <c r="K299" i="15"/>
  <c r="I299" i="15" s="1"/>
  <c r="V302" i="15" s="1"/>
  <c r="Y298" i="15"/>
  <c r="X298" i="15"/>
  <c r="AE298" i="15" s="1"/>
  <c r="W298" i="15"/>
  <c r="Y297" i="15"/>
  <c r="X297" i="15"/>
  <c r="AE297" i="15" s="1"/>
  <c r="W297" i="15"/>
  <c r="Y296" i="15"/>
  <c r="X296" i="15"/>
  <c r="AE296" i="15" s="1"/>
  <c r="W296" i="15"/>
  <c r="Y295" i="15"/>
  <c r="X295" i="15"/>
  <c r="AE295" i="15" s="1"/>
  <c r="W295" i="15"/>
  <c r="Y293" i="15"/>
  <c r="X293" i="15"/>
  <c r="AE293" i="15" s="1"/>
  <c r="W293" i="15"/>
  <c r="O293" i="15"/>
  <c r="K293" i="15"/>
  <c r="I293" i="15" s="1"/>
  <c r="V295" i="15" s="1"/>
  <c r="Y292" i="15"/>
  <c r="X292" i="15"/>
  <c r="AE292" i="15" s="1"/>
  <c r="W292" i="15"/>
  <c r="Y291" i="15"/>
  <c r="X291" i="15"/>
  <c r="AE291" i="15" s="1"/>
  <c r="W291" i="15"/>
  <c r="Y290" i="15"/>
  <c r="X290" i="15"/>
  <c r="AE290" i="15" s="1"/>
  <c r="W290" i="15"/>
  <c r="Y289" i="15"/>
  <c r="X289" i="15"/>
  <c r="AE289" i="15" s="1"/>
  <c r="W289" i="15"/>
  <c r="Y287" i="15"/>
  <c r="X287" i="15"/>
  <c r="AE287" i="15" s="1"/>
  <c r="W287" i="15"/>
  <c r="O287" i="15"/>
  <c r="K287" i="15"/>
  <c r="I287" i="15" s="1"/>
  <c r="Y256" i="15"/>
  <c r="X256" i="15"/>
  <c r="AE256" i="15" s="1"/>
  <c r="W256" i="15"/>
  <c r="Y255" i="15"/>
  <c r="X255" i="15"/>
  <c r="AE255" i="15" s="1"/>
  <c r="W255" i="15"/>
  <c r="Y254" i="15"/>
  <c r="X254" i="15"/>
  <c r="AE254" i="15" s="1"/>
  <c r="W254" i="15"/>
  <c r="Y253" i="15"/>
  <c r="X253" i="15"/>
  <c r="AE253" i="15" s="1"/>
  <c r="W253" i="15"/>
  <c r="Y251" i="15"/>
  <c r="X251" i="15"/>
  <c r="AE252" i="15" s="1"/>
  <c r="W251" i="15"/>
  <c r="O251" i="15"/>
  <c r="K251" i="15"/>
  <c r="I251" i="15" s="1"/>
  <c r="T255" i="15" s="1"/>
  <c r="Y250" i="15"/>
  <c r="X250" i="15"/>
  <c r="AE250" i="15" s="1"/>
  <c r="W250" i="15"/>
  <c r="Y249" i="15"/>
  <c r="X249" i="15"/>
  <c r="AE249" i="15" s="1"/>
  <c r="W249" i="15"/>
  <c r="Y248" i="15"/>
  <c r="X248" i="15"/>
  <c r="AE248" i="15" s="1"/>
  <c r="W248" i="15"/>
  <c r="Y247" i="15"/>
  <c r="X247" i="15"/>
  <c r="AE247" i="15" s="1"/>
  <c r="W247" i="15"/>
  <c r="Y245" i="15"/>
  <c r="X245" i="15"/>
  <c r="AE246" i="15" s="1"/>
  <c r="W245" i="15"/>
  <c r="O245" i="15"/>
  <c r="K245" i="15"/>
  <c r="I245" i="15" s="1"/>
  <c r="Y244" i="15"/>
  <c r="X244" i="15"/>
  <c r="AE244" i="15" s="1"/>
  <c r="W244" i="15"/>
  <c r="Y243" i="15"/>
  <c r="X243" i="15"/>
  <c r="AE243" i="15" s="1"/>
  <c r="W243" i="15"/>
  <c r="Y242" i="15"/>
  <c r="X242" i="15"/>
  <c r="AE242" i="15" s="1"/>
  <c r="W242" i="15"/>
  <c r="Y241" i="15"/>
  <c r="X241" i="15"/>
  <c r="AE241" i="15" s="1"/>
  <c r="W241" i="15"/>
  <c r="Y239" i="15"/>
  <c r="X239" i="15"/>
  <c r="AE239" i="15" s="1"/>
  <c r="W239" i="15"/>
  <c r="O239" i="15"/>
  <c r="K239" i="15"/>
  <c r="I239" i="15" s="1"/>
  <c r="Y238" i="15"/>
  <c r="X238" i="15"/>
  <c r="AE238" i="15" s="1"/>
  <c r="W238" i="15"/>
  <c r="Y237" i="15"/>
  <c r="X237" i="15"/>
  <c r="AE237" i="15" s="1"/>
  <c r="W237" i="15"/>
  <c r="Y236" i="15"/>
  <c r="X236" i="15"/>
  <c r="AE236" i="15" s="1"/>
  <c r="W236" i="15"/>
  <c r="Y235" i="15"/>
  <c r="X235" i="15"/>
  <c r="AE235" i="15" s="1"/>
  <c r="W235" i="15"/>
  <c r="Y233" i="15"/>
  <c r="X233" i="15"/>
  <c r="AE234" i="15" s="1"/>
  <c r="W233" i="15"/>
  <c r="O233" i="15"/>
  <c r="K233" i="15"/>
  <c r="I233" i="15" s="1"/>
  <c r="U238" i="15" s="1"/>
  <c r="Y232" i="15"/>
  <c r="X232" i="15"/>
  <c r="AE232" i="15" s="1"/>
  <c r="W232" i="15"/>
  <c r="Y231" i="15"/>
  <c r="X231" i="15"/>
  <c r="AE231" i="15" s="1"/>
  <c r="W231" i="15"/>
  <c r="Y230" i="15"/>
  <c r="X230" i="15"/>
  <c r="AE230" i="15" s="1"/>
  <c r="W230" i="15"/>
  <c r="Y229" i="15"/>
  <c r="X229" i="15"/>
  <c r="AE229" i="15" s="1"/>
  <c r="W229" i="15"/>
  <c r="Y227" i="15"/>
  <c r="X227" i="15"/>
  <c r="AE227" i="15" s="1"/>
  <c r="W227" i="15"/>
  <c r="O227" i="15"/>
  <c r="K227" i="15"/>
  <c r="I227" i="15" s="1"/>
  <c r="Y226" i="15"/>
  <c r="X226" i="15"/>
  <c r="AE226" i="15" s="1"/>
  <c r="W226" i="15"/>
  <c r="Y225" i="15"/>
  <c r="X225" i="15"/>
  <c r="AE225" i="15" s="1"/>
  <c r="W225" i="15"/>
  <c r="Y224" i="15"/>
  <c r="X224" i="15"/>
  <c r="AE224" i="15" s="1"/>
  <c r="W224" i="15"/>
  <c r="Y223" i="15"/>
  <c r="X223" i="15"/>
  <c r="AE223" i="15" s="1"/>
  <c r="W223" i="15"/>
  <c r="Y221" i="15"/>
  <c r="X221" i="15"/>
  <c r="AE222" i="15" s="1"/>
  <c r="W221" i="15"/>
  <c r="O221" i="15"/>
  <c r="K221" i="15"/>
  <c r="I221" i="15" s="1"/>
  <c r="U224" i="15" s="1"/>
  <c r="Y220" i="15"/>
  <c r="X220" i="15"/>
  <c r="AE220" i="15" s="1"/>
  <c r="W220" i="15"/>
  <c r="Y219" i="15"/>
  <c r="X219" i="15"/>
  <c r="AE219" i="15" s="1"/>
  <c r="W219" i="15"/>
  <c r="Y218" i="15"/>
  <c r="X218" i="15"/>
  <c r="AE218" i="15" s="1"/>
  <c r="W218" i="15"/>
  <c r="Y217" i="15"/>
  <c r="X217" i="15"/>
  <c r="AE217" i="15" s="1"/>
  <c r="W217" i="15"/>
  <c r="Y215" i="15"/>
  <c r="X215" i="15"/>
  <c r="AE215" i="15" s="1"/>
  <c r="W215" i="15"/>
  <c r="O215" i="15"/>
  <c r="K215" i="15"/>
  <c r="I215" i="15" s="1"/>
  <c r="U217" i="15" s="1"/>
  <c r="Y214" i="15"/>
  <c r="X214" i="15"/>
  <c r="AE214" i="15" s="1"/>
  <c r="W214" i="15"/>
  <c r="Y213" i="15"/>
  <c r="X213" i="15"/>
  <c r="AE213" i="15" s="1"/>
  <c r="W213" i="15"/>
  <c r="Y212" i="15"/>
  <c r="X212" i="15"/>
  <c r="AE212" i="15" s="1"/>
  <c r="W212" i="15"/>
  <c r="Y211" i="15"/>
  <c r="X211" i="15"/>
  <c r="AE211" i="15" s="1"/>
  <c r="W211" i="15"/>
  <c r="Y209" i="15"/>
  <c r="X209" i="15"/>
  <c r="AE210" i="15" s="1"/>
  <c r="W209" i="15"/>
  <c r="O209" i="15"/>
  <c r="K209" i="15"/>
  <c r="I209" i="15" s="1"/>
  <c r="U209" i="15" s="1"/>
  <c r="Y208" i="15"/>
  <c r="X208" i="15"/>
  <c r="AE208" i="15" s="1"/>
  <c r="W208" i="15"/>
  <c r="Y207" i="15"/>
  <c r="X207" i="15"/>
  <c r="AE207" i="15" s="1"/>
  <c r="W207" i="15"/>
  <c r="Y206" i="15"/>
  <c r="X206" i="15"/>
  <c r="AE206" i="15" s="1"/>
  <c r="W206" i="15"/>
  <c r="Y205" i="15"/>
  <c r="X205" i="15"/>
  <c r="AE205" i="15" s="1"/>
  <c r="W205" i="15"/>
  <c r="Y203" i="15"/>
  <c r="X203" i="15"/>
  <c r="AE203" i="15" s="1"/>
  <c r="W203" i="15"/>
  <c r="O203" i="15"/>
  <c r="K203" i="15"/>
  <c r="I203" i="15" s="1"/>
  <c r="Y202" i="15"/>
  <c r="X202" i="15"/>
  <c r="AE202" i="15" s="1"/>
  <c r="W202" i="15"/>
  <c r="Y201" i="15"/>
  <c r="X201" i="15"/>
  <c r="AE201" i="15" s="1"/>
  <c r="W201" i="15"/>
  <c r="Y200" i="15"/>
  <c r="X200" i="15"/>
  <c r="AE200" i="15" s="1"/>
  <c r="W200" i="15"/>
  <c r="Y199" i="15"/>
  <c r="X199" i="15"/>
  <c r="AE199" i="15" s="1"/>
  <c r="W199" i="15"/>
  <c r="Y197" i="15"/>
  <c r="X197" i="15"/>
  <c r="AE198" i="15" s="1"/>
  <c r="W197" i="15"/>
  <c r="O197" i="15"/>
  <c r="K197" i="15"/>
  <c r="I197" i="15" s="1"/>
  <c r="Y196" i="15"/>
  <c r="X196" i="15"/>
  <c r="AE196" i="15" s="1"/>
  <c r="W196" i="15"/>
  <c r="Y195" i="15"/>
  <c r="X195" i="15"/>
  <c r="AE195" i="15" s="1"/>
  <c r="W195" i="15"/>
  <c r="Y194" i="15"/>
  <c r="X194" i="15"/>
  <c r="AE194" i="15" s="1"/>
  <c r="W194" i="15"/>
  <c r="Y193" i="15"/>
  <c r="X193" i="15"/>
  <c r="AE193" i="15" s="1"/>
  <c r="W193" i="15"/>
  <c r="Y191" i="15"/>
  <c r="X191" i="15"/>
  <c r="AE192" i="15" s="1"/>
  <c r="W191" i="15"/>
  <c r="O191" i="15"/>
  <c r="K191" i="15"/>
  <c r="I191" i="15" s="1"/>
  <c r="U196" i="15" s="1"/>
  <c r="Y153" i="15"/>
  <c r="X153" i="15"/>
  <c r="AE153" i="15" s="1"/>
  <c r="W153" i="15"/>
  <c r="Y152" i="15"/>
  <c r="X152" i="15"/>
  <c r="AE152" i="15" s="1"/>
  <c r="W152" i="15"/>
  <c r="Y151" i="15"/>
  <c r="X151" i="15"/>
  <c r="AE151" i="15" s="1"/>
  <c r="W151" i="15"/>
  <c r="Y150" i="15"/>
  <c r="X150" i="15"/>
  <c r="AE150" i="15" s="1"/>
  <c r="W150" i="15"/>
  <c r="Y148" i="15"/>
  <c r="X148" i="15"/>
  <c r="AE149" i="15" s="1"/>
  <c r="W148" i="15"/>
  <c r="O148" i="15"/>
  <c r="K148" i="15"/>
  <c r="I148" i="15" s="1"/>
  <c r="AE740" i="15" l="1"/>
  <c r="AF728" i="15"/>
  <c r="AE739" i="15"/>
  <c r="AF520" i="15"/>
  <c r="AF403" i="15"/>
  <c r="AF528" i="15"/>
  <c r="AF712" i="15"/>
  <c r="AF503" i="15"/>
  <c r="AF412" i="15"/>
  <c r="AF555" i="15"/>
  <c r="AF481" i="15"/>
  <c r="AF480" i="15"/>
  <c r="AF483" i="15"/>
  <c r="AF729" i="15"/>
  <c r="AF711" i="15"/>
  <c r="AF531" i="15"/>
  <c r="AF730" i="15"/>
  <c r="AF639" i="15"/>
  <c r="AF676" i="15"/>
  <c r="AF461" i="15"/>
  <c r="AF705" i="15"/>
  <c r="AF497" i="15"/>
  <c r="AF725" i="15"/>
  <c r="AF700" i="15"/>
  <c r="AF696" i="15"/>
  <c r="AF673" i="15"/>
  <c r="AF674" i="15"/>
  <c r="AF466" i="15"/>
  <c r="AF688" i="15"/>
  <c r="AF682" i="15"/>
  <c r="AF521" i="15"/>
  <c r="AE588" i="15"/>
  <c r="AF489" i="15"/>
  <c r="AE589" i="15"/>
  <c r="AF468" i="15"/>
  <c r="AF485" i="15"/>
  <c r="AF689" i="15"/>
  <c r="AF726" i="15"/>
  <c r="AF609" i="15"/>
  <c r="AF529" i="15"/>
  <c r="AF351" i="15"/>
  <c r="AF652" i="15"/>
  <c r="AF671" i="15"/>
  <c r="AF664" i="15"/>
  <c r="AF657" i="15"/>
  <c r="AF653" i="15"/>
  <c r="AF648" i="15"/>
  <c r="AF449" i="15"/>
  <c r="AF665" i="15"/>
  <c r="AF338" i="15"/>
  <c r="AF527" i="15"/>
  <c r="AF663" i="15"/>
  <c r="AF532" i="15"/>
  <c r="AF509" i="15"/>
  <c r="AF407" i="15"/>
  <c r="AF471" i="15"/>
  <c r="AF507" i="15"/>
  <c r="AF699" i="15"/>
  <c r="AF633" i="15"/>
  <c r="AF567" i="15"/>
  <c r="AF536" i="15"/>
  <c r="AF645" i="15"/>
  <c r="AF694" i="15"/>
  <c r="AF654" i="15"/>
  <c r="AF599" i="15"/>
  <c r="AE392" i="15"/>
  <c r="AF490" i="15"/>
  <c r="AF473" i="15"/>
  <c r="AF701" i="15"/>
  <c r="AF737" i="15"/>
  <c r="AF683" i="15"/>
  <c r="AF626" i="15"/>
  <c r="AF678" i="15"/>
  <c r="AF524" i="15"/>
  <c r="AF496" i="15"/>
  <c r="AF707" i="15"/>
  <c r="AF735" i="15"/>
  <c r="AF736" i="15"/>
  <c r="AF638" i="15"/>
  <c r="AF642" i="15"/>
  <c r="AF640" i="15"/>
  <c r="AF635" i="15"/>
  <c r="AF630" i="15"/>
  <c r="AF628" i="15"/>
  <c r="AF629" i="15"/>
  <c r="AF625" i="15"/>
  <c r="AF624" i="15"/>
  <c r="AF606" i="15"/>
  <c r="AF604" i="15"/>
  <c r="AF649" i="15"/>
  <c r="AF650" i="15"/>
  <c r="AF731" i="15"/>
  <c r="AF718" i="15"/>
  <c r="AF704" i="15"/>
  <c r="AF703" i="15"/>
  <c r="AF614" i="15"/>
  <c r="AF613" i="15"/>
  <c r="AF669" i="15"/>
  <c r="AF670" i="15"/>
  <c r="AF622" i="15"/>
  <c r="AF601" i="15"/>
  <c r="AF602" i="15"/>
  <c r="AF623" i="15"/>
  <c r="AF637" i="15"/>
  <c r="AF658" i="15"/>
  <c r="AF610" i="15"/>
  <c r="AF597" i="15"/>
  <c r="AF655" i="15"/>
  <c r="AF656" i="15"/>
  <c r="AF720" i="15"/>
  <c r="AF706" i="15"/>
  <c r="AF738" i="15"/>
  <c r="AF693" i="15"/>
  <c r="AF621" i="15"/>
  <c r="AF636" i="15"/>
  <c r="AF615" i="15"/>
  <c r="AF603" i="15"/>
  <c r="AF608" i="15"/>
  <c r="AF607" i="15"/>
  <c r="AF605" i="15"/>
  <c r="AF600" i="15"/>
  <c r="AF708" i="15"/>
  <c r="AF679" i="15"/>
  <c r="AF680" i="15"/>
  <c r="AF714" i="15"/>
  <c r="AF681" i="15"/>
  <c r="AF733" i="15"/>
  <c r="AF734" i="15"/>
  <c r="AF631" i="15"/>
  <c r="AF632" i="15"/>
  <c r="AF666" i="15"/>
  <c r="AF641" i="15"/>
  <c r="AF617" i="15"/>
  <c r="AF662" i="15"/>
  <c r="AF661" i="15"/>
  <c r="AF721" i="15"/>
  <c r="AF722" i="15"/>
  <c r="AF723" i="15"/>
  <c r="AF724" i="15"/>
  <c r="AF702" i="15"/>
  <c r="AF651" i="15"/>
  <c r="AF672" i="15"/>
  <c r="AF616" i="15"/>
  <c r="AF612" i="15"/>
  <c r="AF646" i="15"/>
  <c r="AF634" i="15"/>
  <c r="AF596" i="15"/>
  <c r="AF595" i="15"/>
  <c r="AF687" i="15"/>
  <c r="AF719" i="15"/>
  <c r="AF713" i="15"/>
  <c r="AF684" i="15"/>
  <c r="AF695" i="15"/>
  <c r="AF667" i="15"/>
  <c r="AF668" i="15"/>
  <c r="AF618" i="15"/>
  <c r="AF660" i="15"/>
  <c r="AF598" i="15"/>
  <c r="AF686" i="15"/>
  <c r="AF685" i="15"/>
  <c r="AF627" i="15"/>
  <c r="AF709" i="15"/>
  <c r="AF710" i="15"/>
  <c r="AF692" i="15"/>
  <c r="AF691" i="15"/>
  <c r="AF619" i="15"/>
  <c r="AF620" i="15"/>
  <c r="AF644" i="15"/>
  <c r="AF643" i="15"/>
  <c r="AF716" i="15"/>
  <c r="AF715" i="15"/>
  <c r="AF717" i="15"/>
  <c r="AF675" i="15"/>
  <c r="AF677" i="15"/>
  <c r="AF697" i="15"/>
  <c r="AF698" i="15"/>
  <c r="AF647" i="15"/>
  <c r="AF659" i="15"/>
  <c r="AF579" i="15"/>
  <c r="AF573" i="15"/>
  <c r="AF557" i="15"/>
  <c r="AF519" i="15"/>
  <c r="AF512" i="15"/>
  <c r="AF517" i="15"/>
  <c r="AF516" i="15"/>
  <c r="AF569" i="15"/>
  <c r="AF470" i="15"/>
  <c r="AF584" i="15"/>
  <c r="AF465" i="15"/>
  <c r="AF418" i="15"/>
  <c r="AF413" i="15"/>
  <c r="AF574" i="15"/>
  <c r="AF508" i="15"/>
  <c r="AF402" i="15"/>
  <c r="AF563" i="15"/>
  <c r="AF482" i="15"/>
  <c r="AF568" i="15"/>
  <c r="AF539" i="15"/>
  <c r="AF454" i="15"/>
  <c r="AF530" i="15"/>
  <c r="AF500" i="15"/>
  <c r="AF587" i="15"/>
  <c r="AE393" i="15"/>
  <c r="AF581" i="15"/>
  <c r="AF472" i="15"/>
  <c r="AF479" i="15"/>
  <c r="AF333" i="15"/>
  <c r="AF562" i="15"/>
  <c r="AF416" i="15"/>
  <c r="AE391" i="15"/>
  <c r="AF575" i="15"/>
  <c r="AF467" i="15"/>
  <c r="AE394" i="15"/>
  <c r="AF495" i="15"/>
  <c r="AF494" i="15"/>
  <c r="AF469" i="15"/>
  <c r="AF502" i="15"/>
  <c r="AF453" i="15"/>
  <c r="AF455" i="15"/>
  <c r="AF442" i="15"/>
  <c r="AF440" i="15"/>
  <c r="AF441" i="15"/>
  <c r="AF430" i="15"/>
  <c r="AF428" i="15"/>
  <c r="AF423" i="15"/>
  <c r="AF422" i="15"/>
  <c r="AF406" i="15"/>
  <c r="AF404" i="15"/>
  <c r="AF405" i="15"/>
  <c r="AF417" i="15"/>
  <c r="AF572" i="15"/>
  <c r="AF580" i="15"/>
  <c r="AF551" i="15"/>
  <c r="AF542" i="15"/>
  <c r="AF513" i="15"/>
  <c r="AF493" i="15"/>
  <c r="AF492" i="15"/>
  <c r="AF457" i="15"/>
  <c r="AF456" i="15"/>
  <c r="AF458" i="15"/>
  <c r="AF447" i="15"/>
  <c r="AF431" i="15"/>
  <c r="AF577" i="15"/>
  <c r="AF576" i="15"/>
  <c r="AF558" i="15"/>
  <c r="AF559" i="15"/>
  <c r="AF541" i="15"/>
  <c r="AF540" i="15"/>
  <c r="AF451" i="15"/>
  <c r="AF450" i="15"/>
  <c r="AF550" i="15"/>
  <c r="AF452" i="15"/>
  <c r="AF582" i="15"/>
  <c r="AF583" i="15"/>
  <c r="AF522" i="15"/>
  <c r="AF523" i="15"/>
  <c r="AF488" i="15"/>
  <c r="AF476" i="15"/>
  <c r="AF477" i="15"/>
  <c r="AF578" i="15"/>
  <c r="AF518" i="15"/>
  <c r="AF570" i="15"/>
  <c r="AF571" i="15"/>
  <c r="AF561" i="15"/>
  <c r="AF504" i="15"/>
  <c r="AF505" i="15"/>
  <c r="AF566" i="15"/>
  <c r="AF546" i="15"/>
  <c r="AF547" i="15"/>
  <c r="AF538" i="15"/>
  <c r="AF511" i="15"/>
  <c r="AF510" i="15"/>
  <c r="AF526" i="15"/>
  <c r="AF437" i="15"/>
  <c r="AF410" i="15"/>
  <c r="AF436" i="15"/>
  <c r="AF478" i="15"/>
  <c r="AF424" i="15"/>
  <c r="AF565" i="15"/>
  <c r="AF564" i="15"/>
  <c r="AF560" i="15"/>
  <c r="AF501" i="15"/>
  <c r="AF549" i="15"/>
  <c r="AF534" i="15"/>
  <c r="AF535" i="15"/>
  <c r="AF533" i="15"/>
  <c r="AF586" i="15"/>
  <c r="AF443" i="15"/>
  <c r="AF435" i="15"/>
  <c r="AF401" i="15"/>
  <c r="AF459" i="15"/>
  <c r="AF414" i="15"/>
  <c r="AF415" i="15"/>
  <c r="AF419" i="15"/>
  <c r="AF445" i="15"/>
  <c r="AF444" i="15"/>
  <c r="AF429" i="15"/>
  <c r="AF506" i="15"/>
  <c r="AF553" i="15"/>
  <c r="AF552" i="15"/>
  <c r="AF499" i="15"/>
  <c r="AF498" i="15"/>
  <c r="AF556" i="15"/>
  <c r="AF548" i="15"/>
  <c r="AF537" i="15"/>
  <c r="AF514" i="15"/>
  <c r="AF438" i="15"/>
  <c r="AF439" i="15"/>
  <c r="AF398" i="15"/>
  <c r="AF464" i="15"/>
  <c r="AF491" i="15"/>
  <c r="AF434" i="15"/>
  <c r="AF446" i="15"/>
  <c r="AF425" i="15"/>
  <c r="AF427" i="15"/>
  <c r="AF426" i="15"/>
  <c r="AF462" i="15"/>
  <c r="AF463" i="15"/>
  <c r="AF544" i="15"/>
  <c r="AF585" i="15"/>
  <c r="AF515" i="15"/>
  <c r="AF399" i="15"/>
  <c r="AF525" i="15"/>
  <c r="AF411" i="15"/>
  <c r="AF486" i="15"/>
  <c r="AF487" i="15"/>
  <c r="AF460" i="15"/>
  <c r="AF474" i="15"/>
  <c r="AF475" i="15"/>
  <c r="AF420" i="15"/>
  <c r="AF421" i="15"/>
  <c r="AF554" i="15"/>
  <c r="AF484" i="15"/>
  <c r="AF396" i="15"/>
  <c r="AF397" i="15"/>
  <c r="AF408" i="15"/>
  <c r="AF409" i="15"/>
  <c r="AF433" i="15"/>
  <c r="AF432" i="15"/>
  <c r="AF448" i="15"/>
  <c r="AF348" i="15"/>
  <c r="AF352" i="15"/>
  <c r="AF350" i="15"/>
  <c r="AF347" i="15"/>
  <c r="AF349" i="15"/>
  <c r="AF337" i="15"/>
  <c r="AF339" i="15"/>
  <c r="AF336" i="15"/>
  <c r="AF335" i="15"/>
  <c r="AF340" i="15"/>
  <c r="AF331" i="15"/>
  <c r="AE251" i="15"/>
  <c r="AF334" i="15"/>
  <c r="AF323" i="15"/>
  <c r="AF332" i="15"/>
  <c r="AF330" i="15"/>
  <c r="AF329" i="15"/>
  <c r="AF283" i="15"/>
  <c r="AF286" i="15"/>
  <c r="AF326" i="15"/>
  <c r="AF268" i="15"/>
  <c r="Z255" i="15"/>
  <c r="AF327" i="15"/>
  <c r="AF325" i="15"/>
  <c r="AF328" i="15"/>
  <c r="AF324" i="15"/>
  <c r="AB314" i="15"/>
  <c r="AF285" i="15"/>
  <c r="AF284" i="15"/>
  <c r="AF281" i="15"/>
  <c r="AF282" i="15"/>
  <c r="AA238" i="15"/>
  <c r="AF278" i="15"/>
  <c r="AF279" i="15"/>
  <c r="AF276" i="15"/>
  <c r="AF275" i="15"/>
  <c r="AF280" i="15"/>
  <c r="AF277" i="15"/>
  <c r="AB302" i="15"/>
  <c r="Z382" i="15"/>
  <c r="AB295" i="15"/>
  <c r="AB345" i="15"/>
  <c r="AF271" i="15"/>
  <c r="AF272" i="15"/>
  <c r="AF269" i="15"/>
  <c r="AF270" i="15"/>
  <c r="AF274" i="15"/>
  <c r="AF273" i="15"/>
  <c r="AA196" i="15"/>
  <c r="V209" i="15"/>
  <c r="AF262" i="15"/>
  <c r="AF267" i="15"/>
  <c r="AF263" i="15"/>
  <c r="AF264" i="15"/>
  <c r="AF266" i="15"/>
  <c r="AF265" i="15"/>
  <c r="U249" i="15"/>
  <c r="AA249" i="15" s="1"/>
  <c r="V247" i="15"/>
  <c r="AB247" i="15" s="1"/>
  <c r="T245" i="15"/>
  <c r="V212" i="15"/>
  <c r="AB212" i="15" s="1"/>
  <c r="Z310" i="15"/>
  <c r="AE359" i="15"/>
  <c r="AF261" i="15"/>
  <c r="AE288" i="15"/>
  <c r="AF259" i="15"/>
  <c r="AE209" i="15"/>
  <c r="Z322" i="15"/>
  <c r="AA368" i="15"/>
  <c r="AF258" i="15"/>
  <c r="AF260" i="15"/>
  <c r="AF257" i="15"/>
  <c r="V292" i="15"/>
  <c r="AB292" i="15" s="1"/>
  <c r="U292" i="15"/>
  <c r="AA292" i="15" s="1"/>
  <c r="T290" i="15"/>
  <c r="Z290" i="15" s="1"/>
  <c r="U287" i="15"/>
  <c r="AA287" i="15" s="1"/>
  <c r="T291" i="15"/>
  <c r="Z291" i="15" s="1"/>
  <c r="T287" i="15"/>
  <c r="Z287" i="15" s="1"/>
  <c r="V289" i="15"/>
  <c r="AB289" i="15" s="1"/>
  <c r="U386" i="15"/>
  <c r="AA386" i="15" s="1"/>
  <c r="T387" i="15"/>
  <c r="Z387" i="15" s="1"/>
  <c r="U212" i="15"/>
  <c r="AA212" i="15" s="1"/>
  <c r="AA224" i="15"/>
  <c r="U247" i="15"/>
  <c r="AE312" i="15"/>
  <c r="V382" i="15"/>
  <c r="AB382" i="15" s="1"/>
  <c r="AE216" i="15"/>
  <c r="U221" i="15"/>
  <c r="AA221" i="15" s="1"/>
  <c r="AE233" i="15"/>
  <c r="V245" i="15"/>
  <c r="AB245" i="15" s="1"/>
  <c r="V221" i="15"/>
  <c r="AB221" i="15" s="1"/>
  <c r="V224" i="15"/>
  <c r="AB224" i="15" s="1"/>
  <c r="T298" i="15"/>
  <c r="Z298" i="15" s="1"/>
  <c r="V299" i="15"/>
  <c r="AB299" i="15" s="1"/>
  <c r="AE377" i="15"/>
  <c r="AE384" i="15"/>
  <c r="U298" i="15"/>
  <c r="AA298" i="15" s="1"/>
  <c r="V311" i="15"/>
  <c r="AB311" i="15" s="1"/>
  <c r="AE353" i="15"/>
  <c r="AE371" i="15"/>
  <c r="T250" i="15"/>
  <c r="Z250" i="15" s="1"/>
  <c r="T233" i="15"/>
  <c r="Z233" i="15" s="1"/>
  <c r="AE245" i="15"/>
  <c r="U250" i="15"/>
  <c r="AA250" i="15" s="1"/>
  <c r="AE341" i="15"/>
  <c r="AE365" i="15"/>
  <c r="T377" i="15"/>
  <c r="Z377" i="15" s="1"/>
  <c r="AE148" i="15"/>
  <c r="AE204" i="15"/>
  <c r="AE221" i="15"/>
  <c r="AE240" i="15"/>
  <c r="AE300" i="15"/>
  <c r="U377" i="15"/>
  <c r="AA377" i="15" s="1"/>
  <c r="T380" i="15"/>
  <c r="Z380" i="15" s="1"/>
  <c r="T253" i="15"/>
  <c r="Z253" i="15" s="1"/>
  <c r="V251" i="15"/>
  <c r="AB251" i="15" s="1"/>
  <c r="V235" i="15"/>
  <c r="AB235" i="15" s="1"/>
  <c r="T236" i="15"/>
  <c r="Z236" i="15" s="1"/>
  <c r="U193" i="15"/>
  <c r="AA193" i="15" s="1"/>
  <c r="AA217" i="15"/>
  <c r="T202" i="15"/>
  <c r="Z202" i="15" s="1"/>
  <c r="V197" i="15"/>
  <c r="AB197" i="15" s="1"/>
  <c r="U200" i="15"/>
  <c r="AA200" i="15" s="1"/>
  <c r="V200" i="15"/>
  <c r="AB200" i="15" s="1"/>
  <c r="AA209" i="15"/>
  <c r="AB209" i="15"/>
  <c r="V230" i="15"/>
  <c r="AB230" i="15" s="1"/>
  <c r="U230" i="15"/>
  <c r="AA230" i="15" s="1"/>
  <c r="V227" i="15"/>
  <c r="AB227" i="15" s="1"/>
  <c r="V232" i="15"/>
  <c r="AB232" i="15" s="1"/>
  <c r="T230" i="15"/>
  <c r="Z230" i="15" s="1"/>
  <c r="U227" i="15"/>
  <c r="AA227" i="15" s="1"/>
  <c r="U232" i="15"/>
  <c r="AA232" i="15" s="1"/>
  <c r="V229" i="15"/>
  <c r="AB229" i="15" s="1"/>
  <c r="T227" i="15"/>
  <c r="Z227" i="15" s="1"/>
  <c r="T232" i="15"/>
  <c r="Z232" i="15" s="1"/>
  <c r="U229" i="15"/>
  <c r="AA229" i="15" s="1"/>
  <c r="T231" i="15"/>
  <c r="Z231" i="15" s="1"/>
  <c r="V231" i="15"/>
  <c r="AB231" i="15" s="1"/>
  <c r="U231" i="15"/>
  <c r="AA231" i="15" s="1"/>
  <c r="T229" i="15"/>
  <c r="Z229" i="15" s="1"/>
  <c r="T207" i="15"/>
  <c r="Z207" i="15" s="1"/>
  <c r="V206" i="15"/>
  <c r="AB206" i="15" s="1"/>
  <c r="V203" i="15"/>
  <c r="AB203" i="15" s="1"/>
  <c r="U206" i="15"/>
  <c r="AA206" i="15" s="1"/>
  <c r="U203" i="15"/>
  <c r="AA203" i="15" s="1"/>
  <c r="V208" i="15"/>
  <c r="AB208" i="15" s="1"/>
  <c r="T203" i="15"/>
  <c r="Z203" i="15" s="1"/>
  <c r="T206" i="15"/>
  <c r="Z206" i="15" s="1"/>
  <c r="U208" i="15"/>
  <c r="AA208" i="15" s="1"/>
  <c r="V205" i="15"/>
  <c r="AB205" i="15" s="1"/>
  <c r="U207" i="15"/>
  <c r="AA207" i="15" s="1"/>
  <c r="T208" i="15"/>
  <c r="Z208" i="15" s="1"/>
  <c r="T205" i="15"/>
  <c r="Z205" i="15" s="1"/>
  <c r="U205" i="15"/>
  <c r="AA205" i="15" s="1"/>
  <c r="V207" i="15"/>
  <c r="AB207" i="15" s="1"/>
  <c r="V237" i="15"/>
  <c r="AB237" i="15" s="1"/>
  <c r="T235" i="15"/>
  <c r="Z235" i="15" s="1"/>
  <c r="U237" i="15"/>
  <c r="AA237" i="15" s="1"/>
  <c r="T237" i="15"/>
  <c r="Z237" i="15" s="1"/>
  <c r="V236" i="15"/>
  <c r="AB236" i="15" s="1"/>
  <c r="U236" i="15"/>
  <c r="AA236" i="15" s="1"/>
  <c r="V233" i="15"/>
  <c r="AB233" i="15" s="1"/>
  <c r="T238" i="15"/>
  <c r="Z238" i="15" s="1"/>
  <c r="U235" i="15"/>
  <c r="AA235" i="15" s="1"/>
  <c r="V238" i="15"/>
  <c r="AB238" i="15" s="1"/>
  <c r="Z245" i="15"/>
  <c r="AA247" i="15"/>
  <c r="T363" i="15"/>
  <c r="Z363" i="15" s="1"/>
  <c r="V362" i="15"/>
  <c r="AB362" i="15" s="1"/>
  <c r="V359" i="15"/>
  <c r="AB359" i="15" s="1"/>
  <c r="U362" i="15"/>
  <c r="AA362" i="15" s="1"/>
  <c r="U359" i="15"/>
  <c r="AA359" i="15" s="1"/>
  <c r="V364" i="15"/>
  <c r="AB364" i="15" s="1"/>
  <c r="T362" i="15"/>
  <c r="Z362" i="15" s="1"/>
  <c r="T359" i="15"/>
  <c r="Z359" i="15" s="1"/>
  <c r="U364" i="15"/>
  <c r="AA364" i="15" s="1"/>
  <c r="V361" i="15"/>
  <c r="AB361" i="15" s="1"/>
  <c r="T364" i="15"/>
  <c r="Z364" i="15" s="1"/>
  <c r="U361" i="15"/>
  <c r="AA361" i="15" s="1"/>
  <c r="U363" i="15"/>
  <c r="AA363" i="15" s="1"/>
  <c r="V363" i="15"/>
  <c r="AB363" i="15" s="1"/>
  <c r="T361" i="15"/>
  <c r="Z361" i="15" s="1"/>
  <c r="T219" i="15"/>
  <c r="Z219" i="15" s="1"/>
  <c r="V218" i="15"/>
  <c r="AB218" i="15" s="1"/>
  <c r="V215" i="15"/>
  <c r="AB215" i="15" s="1"/>
  <c r="U218" i="15"/>
  <c r="AA218" i="15" s="1"/>
  <c r="U215" i="15"/>
  <c r="AA215" i="15" s="1"/>
  <c r="V220" i="15"/>
  <c r="AB220" i="15" s="1"/>
  <c r="T218" i="15"/>
  <c r="Z218" i="15" s="1"/>
  <c r="T215" i="15"/>
  <c r="Z215" i="15" s="1"/>
  <c r="U220" i="15"/>
  <c r="AA220" i="15" s="1"/>
  <c r="V217" i="15"/>
  <c r="AB217" i="15" s="1"/>
  <c r="U219" i="15"/>
  <c r="AA219" i="15" s="1"/>
  <c r="T217" i="15"/>
  <c r="Z217" i="15" s="1"/>
  <c r="U242" i="15"/>
  <c r="AA242" i="15" s="1"/>
  <c r="U239" i="15"/>
  <c r="AA239" i="15" s="1"/>
  <c r="V244" i="15"/>
  <c r="AB244" i="15" s="1"/>
  <c r="T242" i="15"/>
  <c r="Z242" i="15" s="1"/>
  <c r="T239" i="15"/>
  <c r="Z239" i="15" s="1"/>
  <c r="U244" i="15"/>
  <c r="AA244" i="15" s="1"/>
  <c r="V241" i="15"/>
  <c r="AB241" i="15" s="1"/>
  <c r="U243" i="15"/>
  <c r="AA243" i="15" s="1"/>
  <c r="T244" i="15"/>
  <c r="Z244" i="15" s="1"/>
  <c r="U241" i="15"/>
  <c r="AA241" i="15" s="1"/>
  <c r="V243" i="15"/>
  <c r="AB243" i="15" s="1"/>
  <c r="T241" i="15"/>
  <c r="Z241" i="15" s="1"/>
  <c r="V242" i="15"/>
  <c r="AB242" i="15" s="1"/>
  <c r="V239" i="15"/>
  <c r="AB239" i="15" s="1"/>
  <c r="V219" i="15"/>
  <c r="AB219" i="15" s="1"/>
  <c r="T196" i="15"/>
  <c r="Z196" i="15" s="1"/>
  <c r="U214" i="15"/>
  <c r="AA214" i="15" s="1"/>
  <c r="V211" i="15"/>
  <c r="AB211" i="15" s="1"/>
  <c r="T214" i="15"/>
  <c r="Z214" i="15" s="1"/>
  <c r="U211" i="15"/>
  <c r="AA211" i="15" s="1"/>
  <c r="V213" i="15"/>
  <c r="AB213" i="15" s="1"/>
  <c r="T211" i="15"/>
  <c r="Z211" i="15" s="1"/>
  <c r="U213" i="15"/>
  <c r="AA213" i="15" s="1"/>
  <c r="T213" i="15"/>
  <c r="Z213" i="15" s="1"/>
  <c r="V214" i="15"/>
  <c r="AB214" i="15" s="1"/>
  <c r="T212" i="15"/>
  <c r="Z212" i="15" s="1"/>
  <c r="T209" i="15"/>
  <c r="Z209" i="15" s="1"/>
  <c r="U233" i="15"/>
  <c r="AA233" i="15" s="1"/>
  <c r="U226" i="15"/>
  <c r="AA226" i="15" s="1"/>
  <c r="V223" i="15"/>
  <c r="AB223" i="15" s="1"/>
  <c r="T226" i="15"/>
  <c r="Z226" i="15" s="1"/>
  <c r="U223" i="15"/>
  <c r="AA223" i="15" s="1"/>
  <c r="V225" i="15"/>
  <c r="AB225" i="15" s="1"/>
  <c r="T223" i="15"/>
  <c r="Z223" i="15" s="1"/>
  <c r="U225" i="15"/>
  <c r="AA225" i="15" s="1"/>
  <c r="T225" i="15"/>
  <c r="Z225" i="15" s="1"/>
  <c r="V226" i="15"/>
  <c r="AB226" i="15" s="1"/>
  <c r="T224" i="15"/>
  <c r="Z224" i="15" s="1"/>
  <c r="AF224" i="15" s="1"/>
  <c r="T221" i="15"/>
  <c r="Z221" i="15" s="1"/>
  <c r="T243" i="15"/>
  <c r="Z243" i="15" s="1"/>
  <c r="T220" i="15"/>
  <c r="Z220" i="15" s="1"/>
  <c r="T195" i="15"/>
  <c r="Z195" i="15" s="1"/>
  <c r="V194" i="15"/>
  <c r="AB194" i="15" s="1"/>
  <c r="V191" i="15"/>
  <c r="AB191" i="15" s="1"/>
  <c r="U194" i="15"/>
  <c r="AA194" i="15" s="1"/>
  <c r="U191" i="15"/>
  <c r="AA191" i="15" s="1"/>
  <c r="V196" i="15"/>
  <c r="AB196" i="15" s="1"/>
  <c r="T194" i="15"/>
  <c r="Z194" i="15" s="1"/>
  <c r="T191" i="15"/>
  <c r="Z191" i="15" s="1"/>
  <c r="V195" i="15"/>
  <c r="AB195" i="15" s="1"/>
  <c r="T193" i="15"/>
  <c r="Z193" i="15" s="1"/>
  <c r="U195" i="15"/>
  <c r="AA195" i="15" s="1"/>
  <c r="V193" i="15"/>
  <c r="AB193" i="15" s="1"/>
  <c r="T197" i="15"/>
  <c r="Z197" i="15" s="1"/>
  <c r="V199" i="15"/>
  <c r="AB199" i="15" s="1"/>
  <c r="U202" i="15"/>
  <c r="AA202" i="15" s="1"/>
  <c r="U197" i="15"/>
  <c r="AA197" i="15" s="1"/>
  <c r="AE197" i="15"/>
  <c r="T200" i="15"/>
  <c r="Z200" i="15" s="1"/>
  <c r="V202" i="15"/>
  <c r="AB202" i="15" s="1"/>
  <c r="AE228" i="15"/>
  <c r="T247" i="15"/>
  <c r="Z247" i="15" s="1"/>
  <c r="V249" i="15"/>
  <c r="AB249" i="15" s="1"/>
  <c r="U251" i="15"/>
  <c r="AA251" i="15" s="1"/>
  <c r="V304" i="15"/>
  <c r="AB304" i="15" s="1"/>
  <c r="T302" i="15"/>
  <c r="Z302" i="15" s="1"/>
  <c r="T299" i="15"/>
  <c r="Z299" i="15" s="1"/>
  <c r="U304" i="15"/>
  <c r="AA304" i="15" s="1"/>
  <c r="V301" i="15"/>
  <c r="AB301" i="15" s="1"/>
  <c r="T304" i="15"/>
  <c r="Z304" i="15" s="1"/>
  <c r="U301" i="15"/>
  <c r="AA301" i="15" s="1"/>
  <c r="V303" i="15"/>
  <c r="AB303" i="15" s="1"/>
  <c r="T301" i="15"/>
  <c r="Z301" i="15" s="1"/>
  <c r="U303" i="15"/>
  <c r="AA303" i="15" s="1"/>
  <c r="T303" i="15"/>
  <c r="Z303" i="15" s="1"/>
  <c r="U302" i="15"/>
  <c r="AA302" i="15" s="1"/>
  <c r="U299" i="15"/>
  <c r="AA299" i="15" s="1"/>
  <c r="U309" i="15"/>
  <c r="AA309" i="15" s="1"/>
  <c r="T309" i="15"/>
  <c r="Z309" i="15" s="1"/>
  <c r="V308" i="15"/>
  <c r="AB308" i="15" s="1"/>
  <c r="V305" i="15"/>
  <c r="AB305" i="15" s="1"/>
  <c r="U308" i="15"/>
  <c r="AA308" i="15" s="1"/>
  <c r="U305" i="15"/>
  <c r="AA305" i="15" s="1"/>
  <c r="V310" i="15"/>
  <c r="AB310" i="15" s="1"/>
  <c r="T308" i="15"/>
  <c r="Z308" i="15" s="1"/>
  <c r="T305" i="15"/>
  <c r="Z305" i="15" s="1"/>
  <c r="U310" i="15"/>
  <c r="AA310" i="15" s="1"/>
  <c r="V307" i="15"/>
  <c r="AB307" i="15" s="1"/>
  <c r="V309" i="15"/>
  <c r="AB309" i="15" s="1"/>
  <c r="T307" i="15"/>
  <c r="Z307" i="15" s="1"/>
  <c r="V316" i="15"/>
  <c r="AB316" i="15" s="1"/>
  <c r="T314" i="15"/>
  <c r="Z314" i="15" s="1"/>
  <c r="T311" i="15"/>
  <c r="Z311" i="15" s="1"/>
  <c r="U316" i="15"/>
  <c r="AA316" i="15" s="1"/>
  <c r="V313" i="15"/>
  <c r="AB313" i="15" s="1"/>
  <c r="T316" i="15"/>
  <c r="Z316" i="15" s="1"/>
  <c r="U313" i="15"/>
  <c r="AA313" i="15" s="1"/>
  <c r="V315" i="15"/>
  <c r="AB315" i="15" s="1"/>
  <c r="T313" i="15"/>
  <c r="Z313" i="15" s="1"/>
  <c r="U315" i="15"/>
  <c r="AA315" i="15" s="1"/>
  <c r="T315" i="15"/>
  <c r="Z315" i="15" s="1"/>
  <c r="U314" i="15"/>
  <c r="AA314" i="15" s="1"/>
  <c r="U311" i="15"/>
  <c r="AA311" i="15" s="1"/>
  <c r="U321" i="15"/>
  <c r="AA321" i="15" s="1"/>
  <c r="T321" i="15"/>
  <c r="Z321" i="15" s="1"/>
  <c r="V320" i="15"/>
  <c r="AB320" i="15" s="1"/>
  <c r="V317" i="15"/>
  <c r="AB317" i="15" s="1"/>
  <c r="U320" i="15"/>
  <c r="AA320" i="15" s="1"/>
  <c r="U317" i="15"/>
  <c r="AA317" i="15" s="1"/>
  <c r="V322" i="15"/>
  <c r="AB322" i="15" s="1"/>
  <c r="T320" i="15"/>
  <c r="Z320" i="15" s="1"/>
  <c r="T317" i="15"/>
  <c r="Z317" i="15" s="1"/>
  <c r="U322" i="15"/>
  <c r="AA322" i="15" s="1"/>
  <c r="V319" i="15"/>
  <c r="AB319" i="15" s="1"/>
  <c r="V321" i="15"/>
  <c r="AB321" i="15" s="1"/>
  <c r="T319" i="15"/>
  <c r="Z319" i="15" s="1"/>
  <c r="U358" i="15"/>
  <c r="AA358" i="15" s="1"/>
  <c r="V355" i="15"/>
  <c r="AB355" i="15" s="1"/>
  <c r="T358" i="15"/>
  <c r="Z358" i="15" s="1"/>
  <c r="U355" i="15"/>
  <c r="AA355" i="15" s="1"/>
  <c r="V357" i="15"/>
  <c r="AB357" i="15" s="1"/>
  <c r="T355" i="15"/>
  <c r="Z355" i="15" s="1"/>
  <c r="U357" i="15"/>
  <c r="AA357" i="15" s="1"/>
  <c r="T357" i="15"/>
  <c r="Z357" i="15" s="1"/>
  <c r="V356" i="15"/>
  <c r="AB356" i="15" s="1"/>
  <c r="V353" i="15"/>
  <c r="AB353" i="15" s="1"/>
  <c r="V358" i="15"/>
  <c r="AB358" i="15" s="1"/>
  <c r="T356" i="15"/>
  <c r="Z356" i="15" s="1"/>
  <c r="T353" i="15"/>
  <c r="Z353" i="15" s="1"/>
  <c r="T201" i="15"/>
  <c r="Z201" i="15" s="1"/>
  <c r="U245" i="15"/>
  <c r="AA245" i="15" s="1"/>
  <c r="T248" i="15"/>
  <c r="Z248" i="15" s="1"/>
  <c r="V250" i="15"/>
  <c r="AB250" i="15" s="1"/>
  <c r="V253" i="15"/>
  <c r="AB253" i="15" s="1"/>
  <c r="T254" i="15"/>
  <c r="Z254" i="15" s="1"/>
  <c r="V374" i="15"/>
  <c r="AB374" i="15" s="1"/>
  <c r="U374" i="15"/>
  <c r="AA374" i="15" s="1"/>
  <c r="V371" i="15"/>
  <c r="AB371" i="15" s="1"/>
  <c r="V376" i="15"/>
  <c r="AB376" i="15" s="1"/>
  <c r="T374" i="15"/>
  <c r="Z374" i="15" s="1"/>
  <c r="U371" i="15"/>
  <c r="AA371" i="15" s="1"/>
  <c r="U376" i="15"/>
  <c r="AA376" i="15" s="1"/>
  <c r="V373" i="15"/>
  <c r="AB373" i="15" s="1"/>
  <c r="T371" i="15"/>
  <c r="Z371" i="15" s="1"/>
  <c r="T376" i="15"/>
  <c r="Z376" i="15" s="1"/>
  <c r="U373" i="15"/>
  <c r="AA373" i="15" s="1"/>
  <c r="V375" i="15"/>
  <c r="AB375" i="15" s="1"/>
  <c r="T373" i="15"/>
  <c r="Z373" i="15" s="1"/>
  <c r="T375" i="15"/>
  <c r="Z375" i="15" s="1"/>
  <c r="U375" i="15"/>
  <c r="AA375" i="15" s="1"/>
  <c r="AE191" i="15"/>
  <c r="U248" i="15"/>
  <c r="AA248" i="15" s="1"/>
  <c r="V254" i="15"/>
  <c r="AB254" i="15" s="1"/>
  <c r="T256" i="15"/>
  <c r="Z256" i="15" s="1"/>
  <c r="U253" i="15"/>
  <c r="AA253" i="15" s="1"/>
  <c r="U254" i="15"/>
  <c r="AA254" i="15" s="1"/>
  <c r="U255" i="15"/>
  <c r="AA255" i="15" s="1"/>
  <c r="U297" i="15"/>
  <c r="AA297" i="15" s="1"/>
  <c r="V296" i="15"/>
  <c r="AB296" i="15" s="1"/>
  <c r="V293" i="15"/>
  <c r="AB293" i="15" s="1"/>
  <c r="U296" i="15"/>
  <c r="AA296" i="15" s="1"/>
  <c r="U293" i="15"/>
  <c r="AA293" i="15" s="1"/>
  <c r="V298" i="15"/>
  <c r="AB298" i="15" s="1"/>
  <c r="T296" i="15"/>
  <c r="Z296" i="15" s="1"/>
  <c r="V297" i="15"/>
  <c r="AB297" i="15" s="1"/>
  <c r="T295" i="15"/>
  <c r="Z295" i="15" s="1"/>
  <c r="T297" i="15"/>
  <c r="Z297" i="15" s="1"/>
  <c r="U353" i="15"/>
  <c r="AA353" i="15" s="1"/>
  <c r="U370" i="15"/>
  <c r="AA370" i="15" s="1"/>
  <c r="V367" i="15"/>
  <c r="AB367" i="15" s="1"/>
  <c r="T370" i="15"/>
  <c r="Z370" i="15" s="1"/>
  <c r="U367" i="15"/>
  <c r="AA367" i="15" s="1"/>
  <c r="V369" i="15"/>
  <c r="AB369" i="15" s="1"/>
  <c r="T367" i="15"/>
  <c r="Z367" i="15" s="1"/>
  <c r="U369" i="15"/>
  <c r="AA369" i="15" s="1"/>
  <c r="T369" i="15"/>
  <c r="Z369" i="15" s="1"/>
  <c r="V368" i="15"/>
  <c r="AB368" i="15" s="1"/>
  <c r="V365" i="15"/>
  <c r="AB365" i="15" s="1"/>
  <c r="V370" i="15"/>
  <c r="AB370" i="15" s="1"/>
  <c r="T368" i="15"/>
  <c r="Z368" i="15" s="1"/>
  <c r="T365" i="15"/>
  <c r="Z365" i="15" s="1"/>
  <c r="U201" i="15"/>
  <c r="AA201" i="15" s="1"/>
  <c r="T199" i="15"/>
  <c r="Z199" i="15" s="1"/>
  <c r="V201" i="15"/>
  <c r="AB201" i="15" s="1"/>
  <c r="V248" i="15"/>
  <c r="AB248" i="15" s="1"/>
  <c r="V255" i="15"/>
  <c r="AB255" i="15" s="1"/>
  <c r="U256" i="15"/>
  <c r="AA256" i="15" s="1"/>
  <c r="V290" i="15"/>
  <c r="AB290" i="15" s="1"/>
  <c r="U291" i="15"/>
  <c r="AA291" i="15" s="1"/>
  <c r="AE294" i="15"/>
  <c r="U356" i="15"/>
  <c r="AA356" i="15" s="1"/>
  <c r="U199" i="15"/>
  <c r="AA199" i="15" s="1"/>
  <c r="T249" i="15"/>
  <c r="Z249" i="15" s="1"/>
  <c r="V256" i="15"/>
  <c r="AB256" i="15" s="1"/>
  <c r="T292" i="15"/>
  <c r="Z292" i="15" s="1"/>
  <c r="U289" i="15"/>
  <c r="AA289" i="15" s="1"/>
  <c r="V291" i="15"/>
  <c r="AB291" i="15" s="1"/>
  <c r="T289" i="15"/>
  <c r="Z289" i="15" s="1"/>
  <c r="U290" i="15"/>
  <c r="AA290" i="15" s="1"/>
  <c r="V287" i="15"/>
  <c r="AB287" i="15" s="1"/>
  <c r="T293" i="15"/>
  <c r="Z293" i="15" s="1"/>
  <c r="U307" i="15"/>
  <c r="AA307" i="15" s="1"/>
  <c r="U319" i="15"/>
  <c r="AA319" i="15" s="1"/>
  <c r="U365" i="15"/>
  <c r="AA365" i="15" s="1"/>
  <c r="T251" i="15"/>
  <c r="Z251" i="15" s="1"/>
  <c r="U295" i="15"/>
  <c r="AA295" i="15" s="1"/>
  <c r="T345" i="15"/>
  <c r="Z345" i="15" s="1"/>
  <c r="V344" i="15"/>
  <c r="AB344" i="15" s="1"/>
  <c r="V341" i="15"/>
  <c r="AB341" i="15" s="1"/>
  <c r="U344" i="15"/>
  <c r="AA344" i="15" s="1"/>
  <c r="U341" i="15"/>
  <c r="AA341" i="15" s="1"/>
  <c r="V346" i="15"/>
  <c r="AB346" i="15" s="1"/>
  <c r="T344" i="15"/>
  <c r="Z344" i="15" s="1"/>
  <c r="T341" i="15"/>
  <c r="Z341" i="15" s="1"/>
  <c r="U346" i="15"/>
  <c r="AA346" i="15" s="1"/>
  <c r="V343" i="15"/>
  <c r="AB343" i="15" s="1"/>
  <c r="T346" i="15"/>
  <c r="Z346" i="15" s="1"/>
  <c r="U343" i="15"/>
  <c r="AA343" i="15" s="1"/>
  <c r="U345" i="15"/>
  <c r="AA345" i="15" s="1"/>
  <c r="T343" i="15"/>
  <c r="Z343" i="15" s="1"/>
  <c r="V379" i="15"/>
  <c r="AB379" i="15" s="1"/>
  <c r="U382" i="15"/>
  <c r="AA382" i="15" s="1"/>
  <c r="V386" i="15"/>
  <c r="AB386" i="15" s="1"/>
  <c r="U380" i="15"/>
  <c r="AA380" i="15" s="1"/>
  <c r="U387" i="15"/>
  <c r="AA387" i="15" s="1"/>
  <c r="V377" i="15"/>
  <c r="AB377" i="15" s="1"/>
  <c r="V380" i="15"/>
  <c r="AB380" i="15" s="1"/>
  <c r="T385" i="15"/>
  <c r="Z385" i="15" s="1"/>
  <c r="V387" i="15"/>
  <c r="AB387" i="15" s="1"/>
  <c r="AE305" i="15"/>
  <c r="AE317" i="15"/>
  <c r="T381" i="15"/>
  <c r="Z381" i="15" s="1"/>
  <c r="U385" i="15"/>
  <c r="AA385" i="15" s="1"/>
  <c r="T388" i="15"/>
  <c r="Z388" i="15" s="1"/>
  <c r="U381" i="15"/>
  <c r="AA381" i="15" s="1"/>
  <c r="T383" i="15"/>
  <c r="Z383" i="15" s="1"/>
  <c r="V385" i="15"/>
  <c r="AB385" i="15" s="1"/>
  <c r="U388" i="15"/>
  <c r="AA388" i="15" s="1"/>
  <c r="T379" i="15"/>
  <c r="Z379" i="15" s="1"/>
  <c r="V381" i="15"/>
  <c r="AB381" i="15" s="1"/>
  <c r="U383" i="15"/>
  <c r="AA383" i="15" s="1"/>
  <c r="T386" i="15"/>
  <c r="Z386" i="15" s="1"/>
  <c r="V388" i="15"/>
  <c r="AB388" i="15" s="1"/>
  <c r="U379" i="15"/>
  <c r="AA379" i="15" s="1"/>
  <c r="V383" i="15"/>
  <c r="AB383" i="15" s="1"/>
  <c r="V153" i="15"/>
  <c r="AB153" i="15" s="1"/>
  <c r="V151" i="15"/>
  <c r="AB151" i="15" s="1"/>
  <c r="U151" i="15"/>
  <c r="AA151" i="15" s="1"/>
  <c r="T151" i="15"/>
  <c r="Z151" i="15" s="1"/>
  <c r="V148" i="15"/>
  <c r="AB148" i="15" s="1"/>
  <c r="U148" i="15"/>
  <c r="AA148" i="15" s="1"/>
  <c r="T148" i="15"/>
  <c r="Z148" i="15" s="1"/>
  <c r="T152" i="15"/>
  <c r="Z152" i="15" s="1"/>
  <c r="T150" i="15"/>
  <c r="Z150" i="15" s="1"/>
  <c r="V152" i="15"/>
  <c r="AB152" i="15" s="1"/>
  <c r="U150" i="15"/>
  <c r="AA150" i="15" s="1"/>
  <c r="T153" i="15"/>
  <c r="Z153" i="15" s="1"/>
  <c r="U152" i="15"/>
  <c r="AA152" i="15" s="1"/>
  <c r="V150" i="15"/>
  <c r="AB150" i="15" s="1"/>
  <c r="U153" i="15"/>
  <c r="AA153" i="15" s="1"/>
  <c r="AF739" i="15" l="1"/>
  <c r="AF740" i="15"/>
  <c r="AF741" i="15"/>
  <c r="AF744" i="15"/>
  <c r="AF743" i="15"/>
  <c r="AF742" i="15"/>
  <c r="AF592" i="15"/>
  <c r="AE390" i="15"/>
  <c r="AF589" i="15"/>
  <c r="AF588" i="15"/>
  <c r="AF590" i="15"/>
  <c r="AF591" i="15"/>
  <c r="AF593" i="15"/>
  <c r="AE389" i="15"/>
  <c r="AF233" i="15"/>
  <c r="AF378" i="15"/>
  <c r="AF322" i="15"/>
  <c r="AF298" i="15"/>
  <c r="AF290" i="15"/>
  <c r="AF288" i="15"/>
  <c r="AF386" i="15"/>
  <c r="AF151" i="15"/>
  <c r="AF321" i="15"/>
  <c r="AF363" i="15"/>
  <c r="AF287" i="15"/>
  <c r="AF388" i="15"/>
  <c r="AF292" i="15"/>
  <c r="AF387" i="15"/>
  <c r="AF320" i="15"/>
  <c r="AF310" i="15"/>
  <c r="AF244" i="15"/>
  <c r="AF315" i="15"/>
  <c r="AF304" i="15"/>
  <c r="AF361" i="15"/>
  <c r="AF362" i="15"/>
  <c r="AF345" i="15"/>
  <c r="AF289" i="15"/>
  <c r="AF367" i="15"/>
  <c r="AF382" i="15"/>
  <c r="AF344" i="15"/>
  <c r="AF291" i="15"/>
  <c r="AF255" i="15"/>
  <c r="AF356" i="15"/>
  <c r="AF308" i="15"/>
  <c r="AF380" i="15"/>
  <c r="AF302" i="15"/>
  <c r="AF364" i="15"/>
  <c r="AF250" i="15"/>
  <c r="AF254" i="15"/>
  <c r="AF253" i="15"/>
  <c r="AF256" i="15"/>
  <c r="AF249" i="15"/>
  <c r="AF247" i="15"/>
  <c r="AF236" i="15"/>
  <c r="AF237" i="15"/>
  <c r="AF238" i="15"/>
  <c r="AF194" i="15"/>
  <c r="AF193" i="15"/>
  <c r="AF206" i="15"/>
  <c r="AF223" i="15"/>
  <c r="AF217" i="15"/>
  <c r="AF202" i="15"/>
  <c r="AF199" i="15"/>
  <c r="AF200" i="15"/>
  <c r="AF212" i="15"/>
  <c r="AF359" i="15"/>
  <c r="AF360" i="15"/>
  <c r="AF341" i="15"/>
  <c r="AF342" i="15"/>
  <c r="AF295" i="15"/>
  <c r="AF220" i="15"/>
  <c r="AF229" i="15"/>
  <c r="AF368" i="15"/>
  <c r="AF296" i="15"/>
  <c r="AF319" i="15"/>
  <c r="AF314" i="15"/>
  <c r="AF243" i="15"/>
  <c r="AF210" i="15"/>
  <c r="AF209" i="15"/>
  <c r="AF214" i="15"/>
  <c r="AF234" i="15"/>
  <c r="AF218" i="15"/>
  <c r="AF246" i="15"/>
  <c r="AF245" i="15"/>
  <c r="AF198" i="15"/>
  <c r="AF197" i="15"/>
  <c r="AF219" i="15"/>
  <c r="AF251" i="15"/>
  <c r="AF252" i="15"/>
  <c r="AF312" i="15"/>
  <c r="AF311" i="15"/>
  <c r="AF215" i="15"/>
  <c r="AF216" i="15"/>
  <c r="AF203" i="15"/>
  <c r="AF204" i="15"/>
  <c r="AF381" i="15"/>
  <c r="AF343" i="15"/>
  <c r="AF379" i="15"/>
  <c r="AF370" i="15"/>
  <c r="AF375" i="15"/>
  <c r="AF313" i="15"/>
  <c r="AF303" i="15"/>
  <c r="AF300" i="15"/>
  <c r="AF299" i="15"/>
  <c r="AF222" i="15"/>
  <c r="AF221" i="15"/>
  <c r="AF226" i="15"/>
  <c r="AF240" i="15"/>
  <c r="AF239" i="15"/>
  <c r="AF235" i="15"/>
  <c r="AF205" i="15"/>
  <c r="AF230" i="15"/>
  <c r="AF377" i="15"/>
  <c r="AF371" i="15"/>
  <c r="AF372" i="15"/>
  <c r="AF306" i="15"/>
  <c r="AF305" i="15"/>
  <c r="AF358" i="15"/>
  <c r="AF373" i="15"/>
  <c r="AF374" i="15"/>
  <c r="AF248" i="15"/>
  <c r="AF357" i="15"/>
  <c r="AF307" i="15"/>
  <c r="AF241" i="15"/>
  <c r="AF242" i="15"/>
  <c r="AF208" i="15"/>
  <c r="AF231" i="15"/>
  <c r="AF346" i="15"/>
  <c r="AF293" i="15"/>
  <c r="AF294" i="15"/>
  <c r="AF301" i="15"/>
  <c r="AF213" i="15"/>
  <c r="AF196" i="15"/>
  <c r="AF366" i="15"/>
  <c r="AF365" i="15"/>
  <c r="AF383" i="15"/>
  <c r="AF384" i="15"/>
  <c r="AF385" i="15"/>
  <c r="AF369" i="15"/>
  <c r="AF201" i="15"/>
  <c r="AF355" i="15"/>
  <c r="AF318" i="15"/>
  <c r="AF317" i="15"/>
  <c r="AF316" i="15"/>
  <c r="AF195" i="15"/>
  <c r="AF225" i="15"/>
  <c r="AF232" i="15"/>
  <c r="AF297" i="15"/>
  <c r="AF376" i="15"/>
  <c r="AF354" i="15"/>
  <c r="AF353" i="15"/>
  <c r="AF309" i="15"/>
  <c r="AF191" i="15"/>
  <c r="AF192" i="15"/>
  <c r="AF211" i="15"/>
  <c r="AF207" i="15"/>
  <c r="AF227" i="15"/>
  <c r="AF228" i="15"/>
  <c r="AF152" i="15"/>
  <c r="AF149" i="15"/>
  <c r="AF153" i="15"/>
  <c r="AF148" i="15"/>
  <c r="AF150" i="15"/>
  <c r="AF390" i="15" l="1"/>
  <c r="AF394" i="15"/>
  <c r="AF391" i="15"/>
  <c r="AF393" i="15"/>
  <c r="AF392" i="15"/>
  <c r="AF389" i="15"/>
  <c r="Y147" i="15" l="1"/>
  <c r="X147" i="15"/>
  <c r="AE147" i="15" s="1"/>
  <c r="W147" i="15"/>
  <c r="Y146" i="15"/>
  <c r="X146" i="15"/>
  <c r="AE146" i="15" s="1"/>
  <c r="W146" i="15"/>
  <c r="Y145" i="15"/>
  <c r="X145" i="15"/>
  <c r="AE145" i="15" s="1"/>
  <c r="W145" i="15"/>
  <c r="Y144" i="15"/>
  <c r="X144" i="15"/>
  <c r="AE144" i="15" s="1"/>
  <c r="W144" i="15"/>
  <c r="Y142" i="15"/>
  <c r="X142" i="15"/>
  <c r="AE142" i="15" s="1"/>
  <c r="W142" i="15"/>
  <c r="O142" i="15"/>
  <c r="K142" i="15"/>
  <c r="I142" i="15" s="1"/>
  <c r="Y141" i="15"/>
  <c r="X141" i="15"/>
  <c r="AE141" i="15" s="1"/>
  <c r="W141" i="15"/>
  <c r="Y140" i="15"/>
  <c r="X140" i="15"/>
  <c r="AE140" i="15" s="1"/>
  <c r="W140" i="15"/>
  <c r="Y139" i="15"/>
  <c r="X139" i="15"/>
  <c r="AE139" i="15" s="1"/>
  <c r="W139" i="15"/>
  <c r="Y138" i="15"/>
  <c r="X138" i="15"/>
  <c r="AE138" i="15" s="1"/>
  <c r="W138" i="15"/>
  <c r="Y136" i="15"/>
  <c r="X136" i="15"/>
  <c r="AE136" i="15" s="1"/>
  <c r="W136" i="15"/>
  <c r="O136" i="15"/>
  <c r="K136" i="15"/>
  <c r="I136" i="15" s="1"/>
  <c r="Y135" i="15"/>
  <c r="X135" i="15"/>
  <c r="AE135" i="15" s="1"/>
  <c r="W135" i="15"/>
  <c r="Y134" i="15"/>
  <c r="X134" i="15"/>
  <c r="AE134" i="15" s="1"/>
  <c r="W134" i="15"/>
  <c r="Y133" i="15"/>
  <c r="X133" i="15"/>
  <c r="AE133" i="15" s="1"/>
  <c r="W133" i="15"/>
  <c r="Y132" i="15"/>
  <c r="X132" i="15"/>
  <c r="AE132" i="15" s="1"/>
  <c r="W132" i="15"/>
  <c r="Y130" i="15"/>
  <c r="X130" i="15"/>
  <c r="AE130" i="15" s="1"/>
  <c r="W130" i="15"/>
  <c r="O130" i="15"/>
  <c r="K130" i="15"/>
  <c r="I130" i="15" s="1"/>
  <c r="T135" i="15" s="1"/>
  <c r="Y129" i="15"/>
  <c r="X129" i="15"/>
  <c r="AE129" i="15" s="1"/>
  <c r="W129" i="15"/>
  <c r="Y128" i="15"/>
  <c r="X128" i="15"/>
  <c r="AE128" i="15" s="1"/>
  <c r="W128" i="15"/>
  <c r="Y127" i="15"/>
  <c r="X127" i="15"/>
  <c r="AE127" i="15" s="1"/>
  <c r="W127" i="15"/>
  <c r="Y126" i="15"/>
  <c r="X126" i="15"/>
  <c r="AE126" i="15" s="1"/>
  <c r="W126" i="15"/>
  <c r="Y124" i="15"/>
  <c r="X124" i="15"/>
  <c r="AE124" i="15" s="1"/>
  <c r="W124" i="15"/>
  <c r="O124" i="15"/>
  <c r="K124" i="15"/>
  <c r="I124" i="15" s="1"/>
  <c r="Y117" i="15"/>
  <c r="X117" i="15"/>
  <c r="AE117" i="15" s="1"/>
  <c r="W117" i="15"/>
  <c r="Y116" i="15"/>
  <c r="X116" i="15"/>
  <c r="AE116" i="15" s="1"/>
  <c r="W116" i="15"/>
  <c r="Y115" i="15"/>
  <c r="X115" i="15"/>
  <c r="AE115" i="15" s="1"/>
  <c r="W115" i="15"/>
  <c r="Y114" i="15"/>
  <c r="X114" i="15"/>
  <c r="AE114" i="15" s="1"/>
  <c r="W114" i="15"/>
  <c r="Y112" i="15"/>
  <c r="X112" i="15"/>
  <c r="AE113" i="15" s="1"/>
  <c r="W112" i="15"/>
  <c r="O112" i="15"/>
  <c r="K112" i="15"/>
  <c r="I112" i="15" s="1"/>
  <c r="Y111" i="15"/>
  <c r="X111" i="15"/>
  <c r="AE111" i="15" s="1"/>
  <c r="W111" i="15"/>
  <c r="Y110" i="15"/>
  <c r="X110" i="15"/>
  <c r="AE110" i="15" s="1"/>
  <c r="W110" i="15"/>
  <c r="Y109" i="15"/>
  <c r="X109" i="15"/>
  <c r="AE109" i="15" s="1"/>
  <c r="W109" i="15"/>
  <c r="Y108" i="15"/>
  <c r="X108" i="15"/>
  <c r="AE108" i="15" s="1"/>
  <c r="W108" i="15"/>
  <c r="Y106" i="15"/>
  <c r="X106" i="15"/>
  <c r="AE107" i="15" s="1"/>
  <c r="W106" i="15"/>
  <c r="O106" i="15"/>
  <c r="K106" i="15"/>
  <c r="I106" i="15" s="1"/>
  <c r="T111" i="15" s="1"/>
  <c r="Y105" i="15"/>
  <c r="X105" i="15"/>
  <c r="AE105" i="15" s="1"/>
  <c r="W105" i="15"/>
  <c r="Y104" i="15"/>
  <c r="X104" i="15"/>
  <c r="AE104" i="15" s="1"/>
  <c r="W104" i="15"/>
  <c r="Y103" i="15"/>
  <c r="X103" i="15"/>
  <c r="AE103" i="15" s="1"/>
  <c r="W103" i="15"/>
  <c r="Y102" i="15"/>
  <c r="X102" i="15"/>
  <c r="AE102" i="15" s="1"/>
  <c r="W102" i="15"/>
  <c r="Y100" i="15"/>
  <c r="X100" i="15"/>
  <c r="AE101" i="15" s="1"/>
  <c r="W100" i="15"/>
  <c r="O100" i="15"/>
  <c r="K100" i="15"/>
  <c r="I100" i="15" s="1"/>
  <c r="Y99" i="15"/>
  <c r="X99" i="15"/>
  <c r="AE99" i="15" s="1"/>
  <c r="W99" i="15"/>
  <c r="Y98" i="15"/>
  <c r="X98" i="15"/>
  <c r="AE98" i="15" s="1"/>
  <c r="W98" i="15"/>
  <c r="Y97" i="15"/>
  <c r="X97" i="15"/>
  <c r="AE97" i="15" s="1"/>
  <c r="W97" i="15"/>
  <c r="Y96" i="15"/>
  <c r="X96" i="15"/>
  <c r="AE96" i="15" s="1"/>
  <c r="W96" i="15"/>
  <c r="Y94" i="15"/>
  <c r="X94" i="15"/>
  <c r="AE95" i="15" s="1"/>
  <c r="W94" i="15"/>
  <c r="O94" i="15"/>
  <c r="K94" i="15"/>
  <c r="I94" i="15" s="1"/>
  <c r="V99" i="15" s="1"/>
  <c r="Z135" i="15" l="1"/>
  <c r="Z111" i="15"/>
  <c r="V141" i="15"/>
  <c r="AB141" i="15" s="1"/>
  <c r="T136" i="15"/>
  <c r="Z136" i="15" s="1"/>
  <c r="AE143" i="15"/>
  <c r="T147" i="15"/>
  <c r="Z147" i="15" s="1"/>
  <c r="U144" i="15"/>
  <c r="AA144" i="15" s="1"/>
  <c r="V142" i="15"/>
  <c r="AB142" i="15" s="1"/>
  <c r="V146" i="15"/>
  <c r="AB146" i="15" s="1"/>
  <c r="T144" i="15"/>
  <c r="Z144" i="15" s="1"/>
  <c r="U146" i="15"/>
  <c r="AA146" i="15" s="1"/>
  <c r="T146" i="15"/>
  <c r="Z146" i="15" s="1"/>
  <c r="V145" i="15"/>
  <c r="AB145" i="15" s="1"/>
  <c r="U145" i="15"/>
  <c r="AA145" i="15" s="1"/>
  <c r="U142" i="15"/>
  <c r="AA142" i="15" s="1"/>
  <c r="V147" i="15"/>
  <c r="AB147" i="15" s="1"/>
  <c r="T145" i="15"/>
  <c r="Z145" i="15" s="1"/>
  <c r="T142" i="15"/>
  <c r="Z142" i="15" s="1"/>
  <c r="U147" i="15"/>
  <c r="AA147" i="15" s="1"/>
  <c r="V144" i="15"/>
  <c r="AB144" i="15" s="1"/>
  <c r="V138" i="15"/>
  <c r="AB138" i="15" s="1"/>
  <c r="U136" i="15"/>
  <c r="AA136" i="15" s="1"/>
  <c r="V136" i="15"/>
  <c r="AB136" i="15" s="1"/>
  <c r="U139" i="15"/>
  <c r="AA139" i="15" s="1"/>
  <c r="V139" i="15"/>
  <c r="AB139" i="15" s="1"/>
  <c r="T140" i="15"/>
  <c r="Z140" i="15" s="1"/>
  <c r="U140" i="15"/>
  <c r="AA140" i="15" s="1"/>
  <c r="AE137" i="15"/>
  <c r="T138" i="15"/>
  <c r="Z138" i="15" s="1"/>
  <c r="V140" i="15"/>
  <c r="AB140" i="15" s="1"/>
  <c r="U138" i="15"/>
  <c r="AA138" i="15" s="1"/>
  <c r="T141" i="15"/>
  <c r="Z141" i="15" s="1"/>
  <c r="U141" i="15"/>
  <c r="AA141" i="15" s="1"/>
  <c r="T139" i="15"/>
  <c r="Z139" i="15" s="1"/>
  <c r="AE131" i="15"/>
  <c r="AB99" i="15"/>
  <c r="V132" i="15"/>
  <c r="AB132" i="15" s="1"/>
  <c r="T134" i="15"/>
  <c r="Z134" i="15" s="1"/>
  <c r="U134" i="15"/>
  <c r="AA134" i="15" s="1"/>
  <c r="V130" i="15"/>
  <c r="AB130" i="15" s="1"/>
  <c r="V133" i="15"/>
  <c r="AB133" i="15" s="1"/>
  <c r="U135" i="15"/>
  <c r="AA135" i="15" s="1"/>
  <c r="T130" i="15"/>
  <c r="Z130" i="15" s="1"/>
  <c r="T133" i="15"/>
  <c r="Z133" i="15" s="1"/>
  <c r="V135" i="15"/>
  <c r="AB135" i="15" s="1"/>
  <c r="U130" i="15"/>
  <c r="AA130" i="15" s="1"/>
  <c r="U133" i="15"/>
  <c r="AA133" i="15" s="1"/>
  <c r="T132" i="15"/>
  <c r="Z132" i="15" s="1"/>
  <c r="V134" i="15"/>
  <c r="AB134" i="15" s="1"/>
  <c r="U132" i="15"/>
  <c r="AA132" i="15" s="1"/>
  <c r="AE125" i="15"/>
  <c r="T129" i="15"/>
  <c r="Z129" i="15" s="1"/>
  <c r="V126" i="15"/>
  <c r="AB126" i="15" s="1"/>
  <c r="U129" i="15"/>
  <c r="AA129" i="15" s="1"/>
  <c r="T124" i="15"/>
  <c r="Z124" i="15" s="1"/>
  <c r="T127" i="15"/>
  <c r="Z127" i="15" s="1"/>
  <c r="V129" i="15"/>
  <c r="AB129" i="15" s="1"/>
  <c r="U124" i="15"/>
  <c r="AA124" i="15" s="1"/>
  <c r="U127" i="15"/>
  <c r="AA127" i="15" s="1"/>
  <c r="V124" i="15"/>
  <c r="AB124" i="15" s="1"/>
  <c r="V127" i="15"/>
  <c r="AB127" i="15" s="1"/>
  <c r="U128" i="15"/>
  <c r="AA128" i="15" s="1"/>
  <c r="T128" i="15"/>
  <c r="Z128" i="15" s="1"/>
  <c r="T126" i="15"/>
  <c r="Z126" i="15" s="1"/>
  <c r="V128" i="15"/>
  <c r="AB128" i="15" s="1"/>
  <c r="U126" i="15"/>
  <c r="AA126" i="15" s="1"/>
  <c r="T117" i="15"/>
  <c r="Z117" i="15" s="1"/>
  <c r="T112" i="15"/>
  <c r="Z112" i="15" s="1"/>
  <c r="V114" i="15"/>
  <c r="AB114" i="15" s="1"/>
  <c r="U116" i="15"/>
  <c r="AA116" i="15" s="1"/>
  <c r="U117" i="15"/>
  <c r="AA117" i="15" s="1"/>
  <c r="T115" i="15"/>
  <c r="Z115" i="15" s="1"/>
  <c r="V117" i="15"/>
  <c r="AB117" i="15" s="1"/>
  <c r="U112" i="15"/>
  <c r="AA112" i="15" s="1"/>
  <c r="AE112" i="15"/>
  <c r="U115" i="15"/>
  <c r="AA115" i="15" s="1"/>
  <c r="V112" i="15"/>
  <c r="AB112" i="15" s="1"/>
  <c r="V115" i="15"/>
  <c r="AB115" i="15" s="1"/>
  <c r="T116" i="15"/>
  <c r="Z116" i="15" s="1"/>
  <c r="T114" i="15"/>
  <c r="Z114" i="15" s="1"/>
  <c r="V116" i="15"/>
  <c r="AB116" i="15" s="1"/>
  <c r="U114" i="15"/>
  <c r="AA114" i="15" s="1"/>
  <c r="U110" i="15"/>
  <c r="AA110" i="15" s="1"/>
  <c r="T108" i="15"/>
  <c r="Z108" i="15" s="1"/>
  <c r="V110" i="15"/>
  <c r="AB110" i="15" s="1"/>
  <c r="V108" i="15"/>
  <c r="AB108" i="15" s="1"/>
  <c r="U111" i="15"/>
  <c r="AA111" i="15" s="1"/>
  <c r="T106" i="15"/>
  <c r="Z106" i="15" s="1"/>
  <c r="T109" i="15"/>
  <c r="Z109" i="15" s="1"/>
  <c r="V111" i="15"/>
  <c r="AB111" i="15" s="1"/>
  <c r="U106" i="15"/>
  <c r="AA106" i="15" s="1"/>
  <c r="AE106" i="15"/>
  <c r="U109" i="15"/>
  <c r="AA109" i="15" s="1"/>
  <c r="V106" i="15"/>
  <c r="AB106" i="15" s="1"/>
  <c r="V109" i="15"/>
  <c r="AB109" i="15" s="1"/>
  <c r="T110" i="15"/>
  <c r="Z110" i="15" s="1"/>
  <c r="U108" i="15"/>
  <c r="AA108" i="15" s="1"/>
  <c r="AE100" i="15"/>
  <c r="T103" i="15"/>
  <c r="Z103" i="15" s="1"/>
  <c r="T100" i="15"/>
  <c r="Z100" i="15" s="1"/>
  <c r="V102" i="15"/>
  <c r="AB102" i="15" s="1"/>
  <c r="U105" i="15"/>
  <c r="AA105" i="15" s="1"/>
  <c r="V105" i="15"/>
  <c r="AB105" i="15" s="1"/>
  <c r="V100" i="15"/>
  <c r="AB100" i="15" s="1"/>
  <c r="U103" i="15"/>
  <c r="AA103" i="15" s="1"/>
  <c r="V103" i="15"/>
  <c r="AB103" i="15" s="1"/>
  <c r="T104" i="15"/>
  <c r="Z104" i="15" s="1"/>
  <c r="U104" i="15"/>
  <c r="AA104" i="15" s="1"/>
  <c r="T102" i="15"/>
  <c r="Z102" i="15" s="1"/>
  <c r="V104" i="15"/>
  <c r="AB104" i="15" s="1"/>
  <c r="U102" i="15"/>
  <c r="AA102" i="15" s="1"/>
  <c r="T105" i="15"/>
  <c r="Z105" i="15" s="1"/>
  <c r="U100" i="15"/>
  <c r="AA100" i="15" s="1"/>
  <c r="U98" i="15"/>
  <c r="AA98" i="15" s="1"/>
  <c r="V96" i="15"/>
  <c r="AB96" i="15" s="1"/>
  <c r="V94" i="15"/>
  <c r="AB94" i="15" s="1"/>
  <c r="U99" i="15"/>
  <c r="AA99" i="15" s="1"/>
  <c r="T94" i="15"/>
  <c r="Z94" i="15" s="1"/>
  <c r="T97" i="15"/>
  <c r="Z97" i="15" s="1"/>
  <c r="U94" i="15"/>
  <c r="AA94" i="15" s="1"/>
  <c r="AE94" i="15"/>
  <c r="U97" i="15"/>
  <c r="AA97" i="15" s="1"/>
  <c r="V97" i="15"/>
  <c r="AB97" i="15" s="1"/>
  <c r="T98" i="15"/>
  <c r="Z98" i="15" s="1"/>
  <c r="T96" i="15"/>
  <c r="Z96" i="15" s="1"/>
  <c r="V98" i="15"/>
  <c r="AB98" i="15" s="1"/>
  <c r="U96" i="15"/>
  <c r="AA96" i="15" s="1"/>
  <c r="T99" i="15"/>
  <c r="Z99" i="15" s="1"/>
  <c r="AF117" i="15" l="1"/>
  <c r="AF136" i="15"/>
  <c r="AF137" i="15"/>
  <c r="AF110" i="15"/>
  <c r="AF146" i="15"/>
  <c r="AF147" i="15"/>
  <c r="AF143" i="15"/>
  <c r="AF142" i="15"/>
  <c r="AF144" i="15"/>
  <c r="AF145" i="15"/>
  <c r="AF115" i="15"/>
  <c r="AF138" i="15"/>
  <c r="AF141" i="15"/>
  <c r="AF139" i="15"/>
  <c r="AF140" i="15"/>
  <c r="AF134" i="15"/>
  <c r="AF135" i="15"/>
  <c r="AF132" i="15"/>
  <c r="AF133" i="15"/>
  <c r="AF131" i="15"/>
  <c r="AF130" i="15"/>
  <c r="AF129" i="15"/>
  <c r="AF128" i="15"/>
  <c r="AF125" i="15"/>
  <c r="AF124" i="15"/>
  <c r="AF126" i="15"/>
  <c r="AF127" i="15"/>
  <c r="AF113" i="15"/>
  <c r="AF114" i="15"/>
  <c r="AF112" i="15"/>
  <c r="AF116" i="15"/>
  <c r="AF111" i="15"/>
  <c r="AF109" i="15"/>
  <c r="AF108" i="15"/>
  <c r="AF106" i="15"/>
  <c r="AF107" i="15"/>
  <c r="AF105" i="15"/>
  <c r="AF100" i="15"/>
  <c r="AF103" i="15"/>
  <c r="AF101" i="15"/>
  <c r="AF104" i="15"/>
  <c r="AF102" i="15"/>
  <c r="AF96" i="15"/>
  <c r="AF98" i="15"/>
  <c r="AF99" i="15"/>
  <c r="AF97" i="15"/>
  <c r="AF95" i="15"/>
  <c r="AF94" i="15"/>
  <c r="Y87" i="15" l="1"/>
  <c r="X87" i="15"/>
  <c r="AE87" i="15" s="1"/>
  <c r="W87" i="15"/>
  <c r="Y86" i="15"/>
  <c r="X86" i="15"/>
  <c r="AE86" i="15" s="1"/>
  <c r="W86" i="15"/>
  <c r="Y85" i="15"/>
  <c r="X85" i="15"/>
  <c r="AE85" i="15" s="1"/>
  <c r="W85" i="15"/>
  <c r="Y84" i="15"/>
  <c r="X84" i="15"/>
  <c r="AE84" i="15" s="1"/>
  <c r="W84" i="15"/>
  <c r="Y82" i="15"/>
  <c r="X82" i="15"/>
  <c r="AE83" i="15" s="1"/>
  <c r="W82" i="15"/>
  <c r="O82" i="15"/>
  <c r="K82" i="15"/>
  <c r="I82" i="15" s="1"/>
  <c r="AE82" i="15" l="1"/>
  <c r="V87" i="15"/>
  <c r="AB87" i="15" s="1"/>
  <c r="T85" i="15"/>
  <c r="Z85" i="15" s="1"/>
  <c r="T82" i="15"/>
  <c r="Z82" i="15" s="1"/>
  <c r="U87" i="15"/>
  <c r="AA87" i="15" s="1"/>
  <c r="V84" i="15"/>
  <c r="AB84" i="15" s="1"/>
  <c r="T87" i="15"/>
  <c r="Z87" i="15" s="1"/>
  <c r="U84" i="15"/>
  <c r="AA84" i="15" s="1"/>
  <c r="V86" i="15"/>
  <c r="AB86" i="15" s="1"/>
  <c r="T84" i="15"/>
  <c r="Z84" i="15" s="1"/>
  <c r="T86" i="15"/>
  <c r="Z86" i="15" s="1"/>
  <c r="U86" i="15"/>
  <c r="AA86" i="15" s="1"/>
  <c r="V85" i="15"/>
  <c r="AB85" i="15" s="1"/>
  <c r="V82" i="15"/>
  <c r="AB82" i="15" s="1"/>
  <c r="U85" i="15"/>
  <c r="AA85" i="15" s="1"/>
  <c r="U82" i="15"/>
  <c r="AA82" i="15" s="1"/>
  <c r="O70" i="15"/>
  <c r="Y189" i="15"/>
  <c r="X189" i="15"/>
  <c r="W189" i="15"/>
  <c r="V189" i="15"/>
  <c r="AB189" i="15" s="1"/>
  <c r="U189" i="15"/>
  <c r="AA189" i="15" s="1"/>
  <c r="T189" i="15"/>
  <c r="Z189" i="15" s="1"/>
  <c r="Y188" i="15"/>
  <c r="X188" i="15"/>
  <c r="W188" i="15"/>
  <c r="V188" i="15"/>
  <c r="AB188" i="15" s="1"/>
  <c r="U188" i="15"/>
  <c r="AA188" i="15" s="1"/>
  <c r="T188" i="15"/>
  <c r="Z188" i="15" s="1"/>
  <c r="Y187" i="15"/>
  <c r="X187" i="15"/>
  <c r="W187" i="15"/>
  <c r="V187" i="15"/>
  <c r="AB187" i="15" s="1"/>
  <c r="U187" i="15"/>
  <c r="AA187" i="15" s="1"/>
  <c r="T187" i="15"/>
  <c r="Z187" i="15" s="1"/>
  <c r="Y186" i="15"/>
  <c r="X186" i="15"/>
  <c r="W186" i="15"/>
  <c r="V186" i="15"/>
  <c r="AB186" i="15" s="1"/>
  <c r="U186" i="15"/>
  <c r="AA186" i="15" s="1"/>
  <c r="T186" i="15"/>
  <c r="Z186" i="15" s="1"/>
  <c r="Y184" i="15"/>
  <c r="X184" i="15"/>
  <c r="W184" i="15"/>
  <c r="V184" i="15"/>
  <c r="AB184" i="15" s="1"/>
  <c r="U184" i="15"/>
  <c r="AA184" i="15" s="1"/>
  <c r="T184" i="15"/>
  <c r="Z184" i="15" s="1"/>
  <c r="Y183" i="15"/>
  <c r="X183" i="15"/>
  <c r="AE183" i="15" s="1"/>
  <c r="W183" i="15"/>
  <c r="Y182" i="15"/>
  <c r="X182" i="15"/>
  <c r="AE182" i="15" s="1"/>
  <c r="W182" i="15"/>
  <c r="Y181" i="15"/>
  <c r="X181" i="15"/>
  <c r="AE181" i="15" s="1"/>
  <c r="W181" i="15"/>
  <c r="Y180" i="15"/>
  <c r="X180" i="15"/>
  <c r="AE180" i="15" s="1"/>
  <c r="W180" i="15"/>
  <c r="Y178" i="15"/>
  <c r="X178" i="15"/>
  <c r="AE178" i="15" s="1"/>
  <c r="W178" i="15"/>
  <c r="O178" i="15"/>
  <c r="K178" i="15"/>
  <c r="I178" i="15" s="1"/>
  <c r="Y177" i="15"/>
  <c r="X177" i="15"/>
  <c r="AE177" i="15" s="1"/>
  <c r="W177" i="15"/>
  <c r="Y176" i="15"/>
  <c r="X176" i="15"/>
  <c r="AE176" i="15" s="1"/>
  <c r="W176" i="15"/>
  <c r="Y175" i="15"/>
  <c r="X175" i="15"/>
  <c r="AE175" i="15" s="1"/>
  <c r="W175" i="15"/>
  <c r="Y174" i="15"/>
  <c r="X174" i="15"/>
  <c r="AE174" i="15" s="1"/>
  <c r="W174" i="15"/>
  <c r="Y172" i="15"/>
  <c r="X172" i="15"/>
  <c r="AE173" i="15" s="1"/>
  <c r="W172" i="15"/>
  <c r="O172" i="15"/>
  <c r="K172" i="15"/>
  <c r="I172" i="15" s="1"/>
  <c r="Y171" i="15"/>
  <c r="X171" i="15"/>
  <c r="AE171" i="15" s="1"/>
  <c r="W171" i="15"/>
  <c r="Y170" i="15"/>
  <c r="X170" i="15"/>
  <c r="AE170" i="15" s="1"/>
  <c r="W170" i="15"/>
  <c r="Y169" i="15"/>
  <c r="X169" i="15"/>
  <c r="AE169" i="15" s="1"/>
  <c r="W169" i="15"/>
  <c r="Y168" i="15"/>
  <c r="X168" i="15"/>
  <c r="AE168" i="15" s="1"/>
  <c r="W168" i="15"/>
  <c r="Y166" i="15"/>
  <c r="X166" i="15"/>
  <c r="AE166" i="15" s="1"/>
  <c r="W166" i="15"/>
  <c r="O166" i="15"/>
  <c r="K166" i="15"/>
  <c r="I166" i="15" s="1"/>
  <c r="Y165" i="15"/>
  <c r="X165" i="15"/>
  <c r="AE165" i="15" s="1"/>
  <c r="W165" i="15"/>
  <c r="Y164" i="15"/>
  <c r="X164" i="15"/>
  <c r="AE164" i="15" s="1"/>
  <c r="W164" i="15"/>
  <c r="Y163" i="15"/>
  <c r="X163" i="15"/>
  <c r="AE163" i="15" s="1"/>
  <c r="W163" i="15"/>
  <c r="Y162" i="15"/>
  <c r="X162" i="15"/>
  <c r="AE162" i="15" s="1"/>
  <c r="W162" i="15"/>
  <c r="Y160" i="15"/>
  <c r="X160" i="15"/>
  <c r="AE161" i="15" s="1"/>
  <c r="W160" i="15"/>
  <c r="O160" i="15"/>
  <c r="K160" i="15"/>
  <c r="I160" i="15" s="1"/>
  <c r="T160" i="15" s="1"/>
  <c r="Y159" i="15"/>
  <c r="X159" i="15"/>
  <c r="AE159" i="15" s="1"/>
  <c r="W159" i="15"/>
  <c r="Y158" i="15"/>
  <c r="X158" i="15"/>
  <c r="AE158" i="15" s="1"/>
  <c r="W158" i="15"/>
  <c r="Y157" i="15"/>
  <c r="X157" i="15"/>
  <c r="AE157" i="15" s="1"/>
  <c r="W157" i="15"/>
  <c r="Y156" i="15"/>
  <c r="X156" i="15"/>
  <c r="AE156" i="15" s="1"/>
  <c r="W156" i="15"/>
  <c r="Y154" i="15"/>
  <c r="X154" i="15"/>
  <c r="AE155" i="15" s="1"/>
  <c r="W154" i="15"/>
  <c r="O154" i="15"/>
  <c r="K154" i="15"/>
  <c r="I154" i="15" s="1"/>
  <c r="Y123" i="15"/>
  <c r="X123" i="15"/>
  <c r="AE123" i="15" s="1"/>
  <c r="W123" i="15"/>
  <c r="Y122" i="15"/>
  <c r="X122" i="15"/>
  <c r="AE122" i="15" s="1"/>
  <c r="W122" i="15"/>
  <c r="Y121" i="15"/>
  <c r="X121" i="15"/>
  <c r="AE121" i="15" s="1"/>
  <c r="W121" i="15"/>
  <c r="Y120" i="15"/>
  <c r="X120" i="15"/>
  <c r="AE120" i="15" s="1"/>
  <c r="W120" i="15"/>
  <c r="Y118" i="15"/>
  <c r="X118" i="15"/>
  <c r="AE118" i="15" s="1"/>
  <c r="W118" i="15"/>
  <c r="O118" i="15"/>
  <c r="K118" i="15"/>
  <c r="I118" i="15" s="1"/>
  <c r="U120" i="15" s="1"/>
  <c r="AA120" i="15" s="1"/>
  <c r="Y93" i="15"/>
  <c r="X93" i="15"/>
  <c r="AE93" i="15" s="1"/>
  <c r="W93" i="15"/>
  <c r="Y92" i="15"/>
  <c r="X92" i="15"/>
  <c r="AE92" i="15" s="1"/>
  <c r="W92" i="15"/>
  <c r="Y91" i="15"/>
  <c r="X91" i="15"/>
  <c r="AE91" i="15" s="1"/>
  <c r="W91" i="15"/>
  <c r="Y90" i="15"/>
  <c r="X90" i="15"/>
  <c r="AE90" i="15" s="1"/>
  <c r="W90" i="15"/>
  <c r="Y88" i="15"/>
  <c r="X88" i="15"/>
  <c r="AE88" i="15" s="1"/>
  <c r="W88" i="15"/>
  <c r="O88" i="15"/>
  <c r="K88" i="15"/>
  <c r="I88" i="15" s="1"/>
  <c r="V90" i="15" s="1"/>
  <c r="Y81" i="15"/>
  <c r="X81" i="15"/>
  <c r="AE81" i="15" s="1"/>
  <c r="W81" i="15"/>
  <c r="Y80" i="15"/>
  <c r="X80" i="15"/>
  <c r="AE80" i="15" s="1"/>
  <c r="W80" i="15"/>
  <c r="Y79" i="15"/>
  <c r="X79" i="15"/>
  <c r="AE79" i="15" s="1"/>
  <c r="W79" i="15"/>
  <c r="Y78" i="15"/>
  <c r="X78" i="15"/>
  <c r="AE78" i="15" s="1"/>
  <c r="W78" i="15"/>
  <c r="Y76" i="15"/>
  <c r="X76" i="15"/>
  <c r="AE77" i="15" s="1"/>
  <c r="W76" i="15"/>
  <c r="O76" i="15"/>
  <c r="K76" i="15"/>
  <c r="I76" i="15" s="1"/>
  <c r="Y75" i="15"/>
  <c r="X75" i="15"/>
  <c r="AE75" i="15" s="1"/>
  <c r="W75" i="15"/>
  <c r="Y74" i="15"/>
  <c r="X74" i="15"/>
  <c r="AE74" i="15" s="1"/>
  <c r="W74" i="15"/>
  <c r="Y73" i="15"/>
  <c r="X73" i="15"/>
  <c r="AE73" i="15" s="1"/>
  <c r="W73" i="15"/>
  <c r="Y72" i="15"/>
  <c r="X72" i="15"/>
  <c r="AE72" i="15" s="1"/>
  <c r="W72" i="15"/>
  <c r="Y70" i="15"/>
  <c r="X70" i="15"/>
  <c r="AE71" i="15" s="1"/>
  <c r="W70" i="15"/>
  <c r="K70" i="15"/>
  <c r="I70" i="15" s="1"/>
  <c r="Y69" i="15"/>
  <c r="X69" i="15"/>
  <c r="AE69" i="15" s="1"/>
  <c r="W69" i="15"/>
  <c r="Y68" i="15"/>
  <c r="X68" i="15"/>
  <c r="AE68" i="15" s="1"/>
  <c r="W68" i="15"/>
  <c r="Y67" i="15"/>
  <c r="X67" i="15"/>
  <c r="AE67" i="15" s="1"/>
  <c r="W67" i="15"/>
  <c r="Y66" i="15"/>
  <c r="X66" i="15"/>
  <c r="AE66" i="15" s="1"/>
  <c r="W66" i="15"/>
  <c r="Y64" i="15"/>
  <c r="X64" i="15"/>
  <c r="AE65" i="15" s="1"/>
  <c r="W64" i="15"/>
  <c r="O64" i="15"/>
  <c r="K64" i="15"/>
  <c r="I64" i="15" s="1"/>
  <c r="Y63" i="15"/>
  <c r="X63" i="15"/>
  <c r="AE63" i="15" s="1"/>
  <c r="W63" i="15"/>
  <c r="Y62" i="15"/>
  <c r="X62" i="15"/>
  <c r="AE62" i="15" s="1"/>
  <c r="W62" i="15"/>
  <c r="Y61" i="15"/>
  <c r="X61" i="15"/>
  <c r="AE61" i="15" s="1"/>
  <c r="W61" i="15"/>
  <c r="Y60" i="15"/>
  <c r="X60" i="15"/>
  <c r="AE60" i="15" s="1"/>
  <c r="W60" i="15"/>
  <c r="Y58" i="15"/>
  <c r="X58" i="15"/>
  <c r="AE59" i="15" s="1"/>
  <c r="W58" i="15"/>
  <c r="O58" i="15"/>
  <c r="K58" i="15"/>
  <c r="I58" i="15" s="1"/>
  <c r="T63" i="15" s="1"/>
  <c r="Y57" i="15"/>
  <c r="X57" i="15"/>
  <c r="AE57" i="15" s="1"/>
  <c r="W57" i="15"/>
  <c r="Y56" i="15"/>
  <c r="X56" i="15"/>
  <c r="AE56" i="15" s="1"/>
  <c r="W56" i="15"/>
  <c r="Y55" i="15"/>
  <c r="X55" i="15"/>
  <c r="AE55" i="15" s="1"/>
  <c r="W55" i="15"/>
  <c r="Y54" i="15"/>
  <c r="X54" i="15"/>
  <c r="AE54" i="15" s="1"/>
  <c r="W54" i="15"/>
  <c r="Y52" i="15"/>
  <c r="X52" i="15"/>
  <c r="AE53" i="15" s="1"/>
  <c r="W52" i="15"/>
  <c r="O52" i="15"/>
  <c r="K52" i="15"/>
  <c r="I52" i="15" s="1"/>
  <c r="Y51" i="15"/>
  <c r="X51" i="15"/>
  <c r="AE51" i="15" s="1"/>
  <c r="W51" i="15"/>
  <c r="Y50" i="15"/>
  <c r="X50" i="15"/>
  <c r="AE50" i="15" s="1"/>
  <c r="W50" i="15"/>
  <c r="Y49" i="15"/>
  <c r="X49" i="15"/>
  <c r="AE49" i="15" s="1"/>
  <c r="W49" i="15"/>
  <c r="Y48" i="15"/>
  <c r="X48" i="15"/>
  <c r="AE48" i="15" s="1"/>
  <c r="W48" i="15"/>
  <c r="Y46" i="15"/>
  <c r="X46" i="15"/>
  <c r="AE46" i="15" s="1"/>
  <c r="W46" i="15"/>
  <c r="O46" i="15"/>
  <c r="K46" i="15"/>
  <c r="I46" i="15" s="1"/>
  <c r="Y45" i="15"/>
  <c r="X45" i="15"/>
  <c r="AE45" i="15" s="1"/>
  <c r="W45" i="15"/>
  <c r="Y44" i="15"/>
  <c r="X44" i="15"/>
  <c r="AE44" i="15" s="1"/>
  <c r="W44" i="15"/>
  <c r="Y43" i="15"/>
  <c r="X43" i="15"/>
  <c r="AE43" i="15" s="1"/>
  <c r="W43" i="15"/>
  <c r="Y42" i="15"/>
  <c r="X42" i="15"/>
  <c r="AE42" i="15" s="1"/>
  <c r="W42" i="15"/>
  <c r="Y40" i="15"/>
  <c r="X40" i="15"/>
  <c r="AE41" i="15" s="1"/>
  <c r="W40" i="15"/>
  <c r="O40" i="15"/>
  <c r="K40" i="15"/>
  <c r="I40" i="15" s="1"/>
  <c r="T44" i="15" s="1"/>
  <c r="Y39" i="15"/>
  <c r="X39" i="15"/>
  <c r="AE39" i="15" s="1"/>
  <c r="W39" i="15"/>
  <c r="Y38" i="15"/>
  <c r="X38" i="15"/>
  <c r="AE38" i="15" s="1"/>
  <c r="W38" i="15"/>
  <c r="Y37" i="15"/>
  <c r="X37" i="15"/>
  <c r="AE37" i="15" s="1"/>
  <c r="W37" i="15"/>
  <c r="Y36" i="15"/>
  <c r="X36" i="15"/>
  <c r="AE36" i="15" s="1"/>
  <c r="W36" i="15"/>
  <c r="Y34" i="15"/>
  <c r="X34" i="15"/>
  <c r="AE35" i="15" s="1"/>
  <c r="W34" i="15"/>
  <c r="O34" i="15"/>
  <c r="K34" i="15"/>
  <c r="I34" i="15" s="1"/>
  <c r="AE188" i="15" l="1"/>
  <c r="AE186" i="15"/>
  <c r="AE189" i="15"/>
  <c r="AE187" i="15"/>
  <c r="AE34" i="15"/>
  <c r="Z160" i="15"/>
  <c r="Z63" i="15"/>
  <c r="U160" i="15"/>
  <c r="AA160" i="15" s="1"/>
  <c r="AE89" i="15"/>
  <c r="V88" i="15"/>
  <c r="AB88" i="15" s="1"/>
  <c r="V181" i="15"/>
  <c r="T182" i="15"/>
  <c r="Z182" i="15" s="1"/>
  <c r="V160" i="15"/>
  <c r="AB160" i="15" s="1"/>
  <c r="T163" i="15"/>
  <c r="Z163" i="15" s="1"/>
  <c r="AE58" i="15"/>
  <c r="AE47" i="15"/>
  <c r="U91" i="15"/>
  <c r="AA91" i="15" s="1"/>
  <c r="Z44" i="15"/>
  <c r="AE119" i="15"/>
  <c r="AE160" i="15"/>
  <c r="AF86" i="15"/>
  <c r="AE70" i="15"/>
  <c r="AB90" i="15"/>
  <c r="T92" i="15"/>
  <c r="Z92" i="15" s="1"/>
  <c r="V91" i="15"/>
  <c r="AB91" i="15" s="1"/>
  <c r="AF87" i="15"/>
  <c r="AF83" i="15"/>
  <c r="AF82" i="15"/>
  <c r="AF85" i="15"/>
  <c r="AF84" i="15"/>
  <c r="T39" i="15"/>
  <c r="Z39" i="15" s="1"/>
  <c r="U37" i="15"/>
  <c r="AA37" i="15" s="1"/>
  <c r="U39" i="15"/>
  <c r="AA39" i="15" s="1"/>
  <c r="U34" i="15"/>
  <c r="AA34" i="15" s="1"/>
  <c r="T159" i="15"/>
  <c r="T158" i="15"/>
  <c r="V154" i="15"/>
  <c r="AB154" i="15" s="1"/>
  <c r="U154" i="15"/>
  <c r="AA154" i="15" s="1"/>
  <c r="U157" i="15"/>
  <c r="AA157" i="15" s="1"/>
  <c r="V156" i="15"/>
  <c r="AB156" i="15" s="1"/>
  <c r="U159" i="15"/>
  <c r="V157" i="15"/>
  <c r="AB157" i="15" s="1"/>
  <c r="V176" i="15"/>
  <c r="AB176" i="15" s="1"/>
  <c r="V174" i="15"/>
  <c r="AB174" i="15" s="1"/>
  <c r="T172" i="15"/>
  <c r="V177" i="15"/>
  <c r="AB177" i="15" s="1"/>
  <c r="U177" i="15"/>
  <c r="AA177" i="15" s="1"/>
  <c r="U175" i="15"/>
  <c r="AA175" i="15" s="1"/>
  <c r="T175" i="15"/>
  <c r="Z175" i="15" s="1"/>
  <c r="U172" i="15"/>
  <c r="AA172" i="15" s="1"/>
  <c r="V120" i="15"/>
  <c r="AB120" i="15" s="1"/>
  <c r="U163" i="15"/>
  <c r="AA163" i="15" s="1"/>
  <c r="U182" i="15"/>
  <c r="AA182" i="15" s="1"/>
  <c r="V122" i="15"/>
  <c r="AB122" i="15" s="1"/>
  <c r="AE154" i="15"/>
  <c r="V165" i="15"/>
  <c r="AB165" i="15" s="1"/>
  <c r="AB181" i="15"/>
  <c r="AE76" i="15"/>
  <c r="U93" i="15"/>
  <c r="AA93" i="15" s="1"/>
  <c r="Z158" i="15"/>
  <c r="AE167" i="15"/>
  <c r="AE172" i="15"/>
  <c r="T90" i="15"/>
  <c r="Z90" i="15" s="1"/>
  <c r="T81" i="15"/>
  <c r="Z81" i="15" s="1"/>
  <c r="U78" i="15"/>
  <c r="AA78" i="15" s="1"/>
  <c r="V78" i="15"/>
  <c r="AB78" i="15" s="1"/>
  <c r="V79" i="15"/>
  <c r="T79" i="15"/>
  <c r="Z79" i="15" s="1"/>
  <c r="U80" i="15"/>
  <c r="AA80" i="15" s="1"/>
  <c r="T76" i="15"/>
  <c r="Z76" i="15" s="1"/>
  <c r="V81" i="15"/>
  <c r="AB81" i="15" s="1"/>
  <c r="U76" i="15"/>
  <c r="AA76" i="15" s="1"/>
  <c r="U81" i="15"/>
  <c r="AA81" i="15" s="1"/>
  <c r="T34" i="15"/>
  <c r="Z34" i="15" s="1"/>
  <c r="T38" i="15"/>
  <c r="Z38" i="15" s="1"/>
  <c r="V36" i="15"/>
  <c r="AB36" i="15" s="1"/>
  <c r="V39" i="15"/>
  <c r="AB39" i="15" s="1"/>
  <c r="V34" i="15"/>
  <c r="AB34" i="15" s="1"/>
  <c r="T37" i="15"/>
  <c r="Z37" i="15" s="1"/>
  <c r="V37" i="15"/>
  <c r="AB37" i="15" s="1"/>
  <c r="U63" i="15"/>
  <c r="AA63" i="15" s="1"/>
  <c r="V63" i="15"/>
  <c r="AB63" i="15" s="1"/>
  <c r="V58" i="15"/>
  <c r="AB58" i="15" s="1"/>
  <c r="U61" i="15"/>
  <c r="AA61" i="15" s="1"/>
  <c r="U62" i="15"/>
  <c r="V61" i="15"/>
  <c r="AB61" i="15" s="1"/>
  <c r="T61" i="15"/>
  <c r="Z61" i="15" s="1"/>
  <c r="T58" i="15"/>
  <c r="Z58" i="15" s="1"/>
  <c r="T62" i="15"/>
  <c r="Z62" i="15" s="1"/>
  <c r="U58" i="15"/>
  <c r="AA58" i="15" s="1"/>
  <c r="V60" i="15"/>
  <c r="AB60" i="15" s="1"/>
  <c r="U169" i="15"/>
  <c r="AA169" i="15" s="1"/>
  <c r="V166" i="15"/>
  <c r="AB166" i="15" s="1"/>
  <c r="V171" i="15"/>
  <c r="AB171" i="15" s="1"/>
  <c r="T169" i="15"/>
  <c r="Z169" i="15" s="1"/>
  <c r="U166" i="15"/>
  <c r="AA166" i="15" s="1"/>
  <c r="U171" i="15"/>
  <c r="AA171" i="15" s="1"/>
  <c r="V168" i="15"/>
  <c r="AB168" i="15" s="1"/>
  <c r="T166" i="15"/>
  <c r="Z166" i="15" s="1"/>
  <c r="T171" i="15"/>
  <c r="Z171" i="15" s="1"/>
  <c r="U168" i="15"/>
  <c r="AA168" i="15" s="1"/>
  <c r="V169" i="15"/>
  <c r="AB169" i="15" s="1"/>
  <c r="V170" i="15"/>
  <c r="AB170" i="15" s="1"/>
  <c r="U170" i="15"/>
  <c r="AA170" i="15" s="1"/>
  <c r="T170" i="15"/>
  <c r="Z170" i="15" s="1"/>
  <c r="T168" i="15"/>
  <c r="Z168" i="15" s="1"/>
  <c r="U51" i="15"/>
  <c r="AA51" i="15" s="1"/>
  <c r="V48" i="15"/>
  <c r="AB48" i="15" s="1"/>
  <c r="U48" i="15"/>
  <c r="AA48" i="15" s="1"/>
  <c r="V51" i="15"/>
  <c r="AB51" i="15" s="1"/>
  <c r="T51" i="15"/>
  <c r="Z51" i="15" s="1"/>
  <c r="V50" i="15"/>
  <c r="AB50" i="15" s="1"/>
  <c r="T48" i="15"/>
  <c r="Z48" i="15" s="1"/>
  <c r="V49" i="15"/>
  <c r="AB49" i="15" s="1"/>
  <c r="V46" i="15"/>
  <c r="AB46" i="15" s="1"/>
  <c r="U50" i="15"/>
  <c r="AA50" i="15" s="1"/>
  <c r="T50" i="15"/>
  <c r="Z50" i="15" s="1"/>
  <c r="T49" i="15"/>
  <c r="Z49" i="15" s="1"/>
  <c r="T46" i="15"/>
  <c r="Z46" i="15" s="1"/>
  <c r="U49" i="15"/>
  <c r="AA49" i="15" s="1"/>
  <c r="U46" i="15"/>
  <c r="AA46" i="15" s="1"/>
  <c r="T68" i="15"/>
  <c r="Z68" i="15" s="1"/>
  <c r="V67" i="15"/>
  <c r="AB67" i="15" s="1"/>
  <c r="V64" i="15"/>
  <c r="AB64" i="15" s="1"/>
  <c r="U67" i="15"/>
  <c r="AA67" i="15" s="1"/>
  <c r="U64" i="15"/>
  <c r="AA64" i="15" s="1"/>
  <c r="V69" i="15"/>
  <c r="AB69" i="15" s="1"/>
  <c r="T67" i="15"/>
  <c r="Z67" i="15" s="1"/>
  <c r="T64" i="15"/>
  <c r="Z64" i="15" s="1"/>
  <c r="U69" i="15"/>
  <c r="AA69" i="15" s="1"/>
  <c r="V66" i="15"/>
  <c r="AB66" i="15" s="1"/>
  <c r="T69" i="15"/>
  <c r="Z69" i="15" s="1"/>
  <c r="U66" i="15"/>
  <c r="AA66" i="15" s="1"/>
  <c r="U68" i="15"/>
  <c r="AA68" i="15" s="1"/>
  <c r="V68" i="15"/>
  <c r="AB68" i="15" s="1"/>
  <c r="T66" i="15"/>
  <c r="Z66" i="15" s="1"/>
  <c r="V75" i="15"/>
  <c r="AB75" i="15" s="1"/>
  <c r="T75" i="15"/>
  <c r="Z75" i="15" s="1"/>
  <c r="U75" i="15"/>
  <c r="AA75" i="15" s="1"/>
  <c r="U72" i="15"/>
  <c r="AA72" i="15" s="1"/>
  <c r="V74" i="15"/>
  <c r="AB74" i="15" s="1"/>
  <c r="T72" i="15"/>
  <c r="Z72" i="15" s="1"/>
  <c r="U74" i="15"/>
  <c r="AA74" i="15" s="1"/>
  <c r="T74" i="15"/>
  <c r="Z74" i="15" s="1"/>
  <c r="V73" i="15"/>
  <c r="AB73" i="15" s="1"/>
  <c r="U73" i="15"/>
  <c r="AA73" i="15" s="1"/>
  <c r="V70" i="15"/>
  <c r="AB70" i="15" s="1"/>
  <c r="V72" i="15"/>
  <c r="AB72" i="15" s="1"/>
  <c r="T70" i="15"/>
  <c r="Z70" i="15" s="1"/>
  <c r="T73" i="15"/>
  <c r="Z73" i="15" s="1"/>
  <c r="U70" i="15"/>
  <c r="AA70" i="15" s="1"/>
  <c r="T56" i="15"/>
  <c r="Z56" i="15" s="1"/>
  <c r="V55" i="15"/>
  <c r="AB55" i="15" s="1"/>
  <c r="V52" i="15"/>
  <c r="AB52" i="15" s="1"/>
  <c r="U56" i="15"/>
  <c r="AA56" i="15" s="1"/>
  <c r="U55" i="15"/>
  <c r="AA55" i="15" s="1"/>
  <c r="U52" i="15"/>
  <c r="AA52" i="15" s="1"/>
  <c r="U54" i="15"/>
  <c r="AA54" i="15" s="1"/>
  <c r="V57" i="15"/>
  <c r="AB57" i="15" s="1"/>
  <c r="T55" i="15"/>
  <c r="Z55" i="15" s="1"/>
  <c r="T52" i="15"/>
  <c r="Z52" i="15" s="1"/>
  <c r="U57" i="15"/>
  <c r="AA57" i="15" s="1"/>
  <c r="V54" i="15"/>
  <c r="AB54" i="15" s="1"/>
  <c r="T57" i="15"/>
  <c r="Z57" i="15" s="1"/>
  <c r="V56" i="15"/>
  <c r="AB56" i="15" s="1"/>
  <c r="T54" i="15"/>
  <c r="Z54" i="15" s="1"/>
  <c r="T42" i="15"/>
  <c r="Z42" i="15" s="1"/>
  <c r="V44" i="15"/>
  <c r="AB44" i="15" s="1"/>
  <c r="AA62" i="15"/>
  <c r="AB79" i="15"/>
  <c r="U42" i="15"/>
  <c r="AA42" i="15" s="1"/>
  <c r="T45" i="15"/>
  <c r="Z45" i="15" s="1"/>
  <c r="U38" i="15"/>
  <c r="AA38" i="15" s="1"/>
  <c r="T40" i="15"/>
  <c r="Z40" i="15" s="1"/>
  <c r="V42" i="15"/>
  <c r="AB42" i="15" s="1"/>
  <c r="U45" i="15"/>
  <c r="AA45" i="15" s="1"/>
  <c r="T36" i="15"/>
  <c r="Z36" i="15" s="1"/>
  <c r="V38" i="15"/>
  <c r="AB38" i="15" s="1"/>
  <c r="U40" i="15"/>
  <c r="AA40" i="15" s="1"/>
  <c r="AE40" i="15"/>
  <c r="T43" i="15"/>
  <c r="Z43" i="15" s="1"/>
  <c r="V45" i="15"/>
  <c r="AB45" i="15" s="1"/>
  <c r="T93" i="15"/>
  <c r="Z93" i="15" s="1"/>
  <c r="U90" i="15"/>
  <c r="AA90" i="15" s="1"/>
  <c r="V92" i="15"/>
  <c r="AB92" i="15" s="1"/>
  <c r="U92" i="15"/>
  <c r="AA92" i="15" s="1"/>
  <c r="V93" i="15"/>
  <c r="AB93" i="15" s="1"/>
  <c r="T91" i="15"/>
  <c r="Z91" i="15" s="1"/>
  <c r="U88" i="15"/>
  <c r="AA88" i="15" s="1"/>
  <c r="V121" i="15"/>
  <c r="AB121" i="15" s="1"/>
  <c r="V118" i="15"/>
  <c r="AB118" i="15" s="1"/>
  <c r="U121" i="15"/>
  <c r="AA121" i="15" s="1"/>
  <c r="U118" i="15"/>
  <c r="AA118" i="15" s="1"/>
  <c r="V123" i="15"/>
  <c r="AB123" i="15" s="1"/>
  <c r="T121" i="15"/>
  <c r="Z121" i="15" s="1"/>
  <c r="T118" i="15"/>
  <c r="Z118" i="15" s="1"/>
  <c r="U122" i="15"/>
  <c r="AA122" i="15" s="1"/>
  <c r="AA159" i="15"/>
  <c r="U36" i="15"/>
  <c r="AA36" i="15" s="1"/>
  <c r="V40" i="15"/>
  <c r="AB40" i="15" s="1"/>
  <c r="U43" i="15"/>
  <c r="AA43" i="15" s="1"/>
  <c r="AE52" i="15"/>
  <c r="T60" i="15"/>
  <c r="Z60" i="15" s="1"/>
  <c r="V62" i="15"/>
  <c r="AB62" i="15" s="1"/>
  <c r="AE64" i="15"/>
  <c r="T123" i="15"/>
  <c r="Z123" i="15" s="1"/>
  <c r="Z159" i="15"/>
  <c r="T165" i="15"/>
  <c r="Z165" i="15" s="1"/>
  <c r="U162" i="15"/>
  <c r="AA162" i="15" s="1"/>
  <c r="V164" i="15"/>
  <c r="AB164" i="15" s="1"/>
  <c r="T162" i="15"/>
  <c r="Z162" i="15" s="1"/>
  <c r="U164" i="15"/>
  <c r="AA164" i="15" s="1"/>
  <c r="T164" i="15"/>
  <c r="Z164" i="15" s="1"/>
  <c r="U165" i="15"/>
  <c r="AA165" i="15" s="1"/>
  <c r="V162" i="15"/>
  <c r="AB162" i="15" s="1"/>
  <c r="V163" i="15"/>
  <c r="AB163" i="15" s="1"/>
  <c r="Z172" i="15"/>
  <c r="AE179" i="15"/>
  <c r="U60" i="15"/>
  <c r="AA60" i="15" s="1"/>
  <c r="T80" i="15"/>
  <c r="Z80" i="15" s="1"/>
  <c r="U79" i="15"/>
  <c r="AA79" i="15" s="1"/>
  <c r="V76" i="15"/>
  <c r="AB76" i="15" s="1"/>
  <c r="V80" i="15"/>
  <c r="AB80" i="15" s="1"/>
  <c r="T78" i="15"/>
  <c r="Z78" i="15" s="1"/>
  <c r="T88" i="15"/>
  <c r="Z88" i="15" s="1"/>
  <c r="T120" i="15"/>
  <c r="Z120" i="15" s="1"/>
  <c r="T122" i="15"/>
  <c r="Z122" i="15" s="1"/>
  <c r="U123" i="15"/>
  <c r="AA123" i="15" s="1"/>
  <c r="V183" i="15"/>
  <c r="AB183" i="15" s="1"/>
  <c r="T181" i="15"/>
  <c r="Z181" i="15" s="1"/>
  <c r="U178" i="15"/>
  <c r="AA178" i="15" s="1"/>
  <c r="U183" i="15"/>
  <c r="AA183" i="15" s="1"/>
  <c r="V180" i="15"/>
  <c r="AB180" i="15" s="1"/>
  <c r="T178" i="15"/>
  <c r="Z178" i="15" s="1"/>
  <c r="T183" i="15"/>
  <c r="Z183" i="15" s="1"/>
  <c r="U180" i="15"/>
  <c r="AA180" i="15" s="1"/>
  <c r="V182" i="15"/>
  <c r="AB182" i="15" s="1"/>
  <c r="T180" i="15"/>
  <c r="Z180" i="15" s="1"/>
  <c r="U181" i="15"/>
  <c r="AA181" i="15" s="1"/>
  <c r="V178" i="15"/>
  <c r="AB178" i="15" s="1"/>
  <c r="U44" i="15"/>
  <c r="AA44" i="15" s="1"/>
  <c r="V43" i="15"/>
  <c r="AB43" i="15" s="1"/>
  <c r="T154" i="15"/>
  <c r="Z154" i="15" s="1"/>
  <c r="T157" i="15"/>
  <c r="Z157" i="15" s="1"/>
  <c r="V159" i="15"/>
  <c r="AB159" i="15" s="1"/>
  <c r="U174" i="15"/>
  <c r="AA174" i="15" s="1"/>
  <c r="T177" i="15"/>
  <c r="Z177" i="15" s="1"/>
  <c r="U158" i="15"/>
  <c r="AA158" i="15" s="1"/>
  <c r="V172" i="15"/>
  <c r="AB172" i="15" s="1"/>
  <c r="V175" i="15"/>
  <c r="AB175" i="15" s="1"/>
  <c r="T156" i="15"/>
  <c r="Z156" i="15" s="1"/>
  <c r="V158" i="15"/>
  <c r="AB158" i="15" s="1"/>
  <c r="T176" i="15"/>
  <c r="Z176" i="15" s="1"/>
  <c r="U156" i="15"/>
  <c r="AA156" i="15" s="1"/>
  <c r="U176" i="15"/>
  <c r="AA176" i="15" s="1"/>
  <c r="T174" i="15"/>
  <c r="Z174" i="15" s="1"/>
  <c r="AE185" i="15" l="1"/>
  <c r="AF44" i="15"/>
  <c r="AF39" i="15"/>
  <c r="AE184" i="15"/>
  <c r="AF161" i="15"/>
  <c r="AF160" i="15"/>
  <c r="AF182" i="15"/>
  <c r="AF175" i="15"/>
  <c r="AF91" i="15"/>
  <c r="AF120" i="15"/>
  <c r="AF174" i="15"/>
  <c r="AF180" i="15"/>
  <c r="AF181" i="15"/>
  <c r="AF63" i="15"/>
  <c r="AF35" i="15"/>
  <c r="AF157" i="15"/>
  <c r="AF122" i="15"/>
  <c r="AF92" i="15"/>
  <c r="AF163" i="15"/>
  <c r="AF90" i="15"/>
  <c r="AF165" i="15"/>
  <c r="AF61" i="15"/>
  <c r="AF123" i="15"/>
  <c r="AF177" i="15"/>
  <c r="AF164" i="15"/>
  <c r="AF171" i="15"/>
  <c r="AF158" i="15"/>
  <c r="AF183" i="15"/>
  <c r="AF176" i="15"/>
  <c r="AF121" i="15"/>
  <c r="AF59" i="15"/>
  <c r="AF78" i="15"/>
  <c r="AF74" i="15"/>
  <c r="AF37" i="15"/>
  <c r="AF48" i="15"/>
  <c r="AF69" i="15"/>
  <c r="AF58" i="15"/>
  <c r="AF45" i="15"/>
  <c r="AF57" i="15"/>
  <c r="AF55" i="15"/>
  <c r="AF36" i="15"/>
  <c r="AF38" i="15"/>
  <c r="AF166" i="15"/>
  <c r="AF167" i="15"/>
  <c r="AF159" i="15"/>
  <c r="AF81" i="15"/>
  <c r="AF42" i="15"/>
  <c r="AF75" i="15"/>
  <c r="AF68" i="15"/>
  <c r="AF168" i="15"/>
  <c r="AF79" i="15"/>
  <c r="AF52" i="15"/>
  <c r="AF53" i="15"/>
  <c r="AF64" i="15"/>
  <c r="AF65" i="15"/>
  <c r="AF170" i="15"/>
  <c r="AF56" i="15"/>
  <c r="AF66" i="15"/>
  <c r="AF67" i="15"/>
  <c r="AF156" i="15"/>
  <c r="AF155" i="15"/>
  <c r="AF154" i="15"/>
  <c r="AF178" i="15"/>
  <c r="AF179" i="15"/>
  <c r="AF93" i="15"/>
  <c r="AF34" i="15"/>
  <c r="AF47" i="15"/>
  <c r="AF46" i="15"/>
  <c r="AF51" i="15"/>
  <c r="AF169" i="15"/>
  <c r="AF89" i="15"/>
  <c r="AF88" i="15"/>
  <c r="AF80" i="15"/>
  <c r="AF162" i="15"/>
  <c r="AF60" i="15"/>
  <c r="AF40" i="15"/>
  <c r="AF41" i="15"/>
  <c r="AF54" i="15"/>
  <c r="AF73" i="15"/>
  <c r="AF72" i="15"/>
  <c r="AF49" i="15"/>
  <c r="AF76" i="15"/>
  <c r="AF77" i="15"/>
  <c r="AF71" i="15"/>
  <c r="AF70" i="15"/>
  <c r="AF50" i="15"/>
  <c r="AF173" i="15"/>
  <c r="AF172" i="15"/>
  <c r="AF118" i="15"/>
  <c r="AF119" i="15"/>
  <c r="AF43" i="15"/>
  <c r="AF62" i="15"/>
  <c r="AF184" i="15" l="1"/>
  <c r="AF188" i="15"/>
  <c r="AF187" i="15"/>
  <c r="AF186" i="15"/>
  <c r="AF185" i="15"/>
  <c r="AF189" i="15"/>
  <c r="Y62" i="11"/>
  <c r="X62" i="11"/>
  <c r="Y61" i="11"/>
  <c r="X61" i="11"/>
  <c r="Y56" i="11"/>
  <c r="X56" i="11"/>
  <c r="Y55" i="11"/>
  <c r="X55" i="11"/>
  <c r="X52" i="11" l="1"/>
  <c r="R139" i="14"/>
  <c r="Q139" i="14"/>
  <c r="R138" i="14"/>
  <c r="Q138" i="14"/>
  <c r="R137" i="14"/>
  <c r="Q137" i="14"/>
  <c r="Q141" i="14" s="1"/>
  <c r="R132" i="14"/>
  <c r="Q132" i="14"/>
  <c r="R131" i="14"/>
  <c r="Q131" i="14"/>
  <c r="R130" i="14"/>
  <c r="Q130" i="14"/>
  <c r="Q134" i="14" s="1"/>
  <c r="Q233" i="3"/>
  <c r="T233" i="3"/>
  <c r="T232" i="3"/>
  <c r="Q231" i="3"/>
  <c r="Q230" i="3"/>
  <c r="T231" i="3"/>
  <c r="T230" i="3"/>
  <c r="Q221" i="3"/>
  <c r="T221" i="3"/>
  <c r="T220" i="3"/>
  <c r="Q219" i="3"/>
  <c r="T219" i="3"/>
  <c r="T218" i="3"/>
  <c r="R337" i="4"/>
  <c r="Q337" i="4"/>
  <c r="R312" i="4"/>
  <c r="Q312" i="4"/>
  <c r="R141" i="14" l="1"/>
  <c r="R134" i="14"/>
  <c r="J369" i="20"/>
  <c r="X57" i="11"/>
  <c r="X59" i="11" s="1"/>
  <c r="X63" i="11"/>
  <c r="X64" i="11" s="1"/>
  <c r="K369" i="20"/>
  <c r="U233" i="3"/>
  <c r="Q232" i="3"/>
  <c r="U232" i="3" s="1"/>
  <c r="U230" i="3"/>
  <c r="U231" i="3"/>
  <c r="U221" i="3"/>
  <c r="Q220" i="3"/>
  <c r="Q218" i="3"/>
  <c r="U219" i="3"/>
  <c r="U220" i="3" l="1"/>
  <c r="Z59" i="11"/>
  <c r="J392" i="20"/>
  <c r="Y57" i="11"/>
  <c r="Y59" i="11" s="1"/>
  <c r="Y63" i="11"/>
  <c r="Y64" i="11" s="1"/>
  <c r="U218" i="3"/>
  <c r="AA64" i="11" l="1"/>
  <c r="M392" i="20"/>
  <c r="AA59" i="11"/>
  <c r="K392" i="20"/>
  <c r="Z64" i="11"/>
  <c r="L392" i="20"/>
  <c r="Q215" i="3"/>
  <c r="T215" i="3"/>
  <c r="T214" i="3"/>
  <c r="Y213" i="3"/>
  <c r="Y212" i="3"/>
  <c r="Q212" i="3" s="1"/>
  <c r="T213" i="3"/>
  <c r="T212" i="3"/>
  <c r="Y164" i="3"/>
  <c r="Q164" i="3" s="1"/>
  <c r="Y163" i="3"/>
  <c r="Q163" i="3" s="1"/>
  <c r="T164" i="3"/>
  <c r="T163" i="3"/>
  <c r="U212" i="3" l="1"/>
  <c r="T216" i="3"/>
  <c r="J346" i="20" s="1"/>
  <c r="U215" i="3"/>
  <c r="Q214" i="3"/>
  <c r="U214" i="3" s="1"/>
  <c r="Q213" i="3"/>
  <c r="U213" i="3" s="1"/>
  <c r="U164" i="3"/>
  <c r="U163" i="3"/>
  <c r="U216" i="3" l="1"/>
  <c r="K346" i="20" s="1"/>
  <c r="Y159" i="3"/>
  <c r="T159" i="3"/>
  <c r="Q159" i="3" l="1"/>
  <c r="U159" i="3" s="1"/>
  <c r="R44" i="14" l="1"/>
  <c r="Q44" i="14"/>
  <c r="R61" i="14" l="1"/>
  <c r="I287" i="20" s="1"/>
  <c r="Q61" i="14"/>
  <c r="H287" i="20" s="1"/>
  <c r="R42" i="14"/>
  <c r="G287" i="20" s="1"/>
  <c r="Q42" i="14"/>
  <c r="F287" i="20" s="1"/>
  <c r="Q107" i="14"/>
  <c r="R107" i="14"/>
  <c r="Y156" i="3"/>
  <c r="Q156" i="3" s="1"/>
  <c r="Y155" i="3"/>
  <c r="Q155" i="3" s="1"/>
  <c r="T156" i="3"/>
  <c r="T155" i="3"/>
  <c r="Y154" i="3"/>
  <c r="Q154" i="3" s="1"/>
  <c r="Y153" i="3"/>
  <c r="Q153" i="3" s="1"/>
  <c r="T154" i="3"/>
  <c r="T153" i="3"/>
  <c r="Q84" i="3"/>
  <c r="T85" i="3"/>
  <c r="T84" i="3"/>
  <c r="T83" i="3"/>
  <c r="Q82" i="3"/>
  <c r="T82" i="3"/>
  <c r="T81" i="3"/>
  <c r="R114" i="4"/>
  <c r="Q114" i="4"/>
  <c r="I60" i="2"/>
  <c r="P60" i="2" s="1"/>
  <c r="I59" i="2"/>
  <c r="P59" i="2" s="1"/>
  <c r="O60" i="2"/>
  <c r="O59" i="2"/>
  <c r="Y148" i="3"/>
  <c r="Q148" i="3" s="1"/>
  <c r="Y147" i="3"/>
  <c r="Q147" i="3" s="1"/>
  <c r="Y146" i="3"/>
  <c r="Q146" i="3" s="1"/>
  <c r="Y145" i="3"/>
  <c r="Q145" i="3" s="1"/>
  <c r="T148" i="3"/>
  <c r="T147" i="3"/>
  <c r="T146" i="3"/>
  <c r="T145" i="3"/>
  <c r="Y76" i="3"/>
  <c r="Q76" i="3" s="1"/>
  <c r="Y75" i="3"/>
  <c r="Q75" i="3" s="1"/>
  <c r="T76" i="3"/>
  <c r="T75" i="3"/>
  <c r="Q74" i="3"/>
  <c r="T74" i="3"/>
  <c r="T73" i="3"/>
  <c r="R101" i="4"/>
  <c r="Q101" i="4"/>
  <c r="I56" i="2"/>
  <c r="P56" i="2" s="1"/>
  <c r="I55" i="2"/>
  <c r="P55" i="2" s="1"/>
  <c r="P57" i="2" s="1"/>
  <c r="O56" i="2"/>
  <c r="O55" i="2"/>
  <c r="R110" i="14" l="1"/>
  <c r="Q110" i="14"/>
  <c r="U74" i="3"/>
  <c r="O57" i="2"/>
  <c r="U156" i="3"/>
  <c r="U155" i="3"/>
  <c r="T157" i="3"/>
  <c r="H284" i="20" s="1"/>
  <c r="O61" i="2"/>
  <c r="T86" i="3"/>
  <c r="F284" i="20" s="1"/>
  <c r="U153" i="3"/>
  <c r="U154" i="3"/>
  <c r="Q85" i="3"/>
  <c r="U85" i="3" s="1"/>
  <c r="U84" i="3"/>
  <c r="Q83" i="3"/>
  <c r="U83" i="3" s="1"/>
  <c r="U82" i="3"/>
  <c r="Q81" i="3"/>
  <c r="P61" i="2"/>
  <c r="U146" i="3"/>
  <c r="U147" i="3"/>
  <c r="U145" i="3"/>
  <c r="U148" i="3"/>
  <c r="U75" i="3"/>
  <c r="U76" i="3"/>
  <c r="Q73" i="3"/>
  <c r="U73" i="3" s="1"/>
  <c r="U157" i="3" l="1"/>
  <c r="I284" i="20" s="1"/>
  <c r="U81" i="3"/>
  <c r="Q102" i="14"/>
  <c r="Q105" i="14" s="1"/>
  <c r="R102" i="14"/>
  <c r="R105" i="14" s="1"/>
  <c r="U102" i="14"/>
  <c r="Y210" i="3"/>
  <c r="Q210" i="3" s="1"/>
  <c r="T210" i="3"/>
  <c r="Y142" i="3"/>
  <c r="Q142" i="3" s="1"/>
  <c r="Y141" i="3"/>
  <c r="T142" i="3"/>
  <c r="T141" i="3"/>
  <c r="Q68" i="3"/>
  <c r="Q67" i="3"/>
  <c r="T68" i="3"/>
  <c r="T67" i="3"/>
  <c r="R80" i="4"/>
  <c r="Q80" i="4"/>
  <c r="U86" i="3" l="1"/>
  <c r="G284" i="20" s="1"/>
  <c r="T143" i="3"/>
  <c r="U142" i="3"/>
  <c r="U210" i="3"/>
  <c r="Q141" i="3"/>
  <c r="U141" i="3" s="1"/>
  <c r="U68" i="3"/>
  <c r="U67" i="3"/>
  <c r="U143" i="3" l="1"/>
  <c r="N384" i="6"/>
  <c r="N390" i="6" s="1"/>
  <c r="N383" i="6"/>
  <c r="N382" i="6"/>
  <c r="N388" i="6" s="1"/>
  <c r="R89" i="14"/>
  <c r="K233" i="20" s="1"/>
  <c r="Q89" i="14"/>
  <c r="J233" i="20" s="1"/>
  <c r="Y207" i="3"/>
  <c r="Q207" i="3" s="1"/>
  <c r="Y206" i="3"/>
  <c r="Q206" i="3" s="1"/>
  <c r="T207" i="3"/>
  <c r="T206" i="3"/>
  <c r="U207" i="3" l="1"/>
  <c r="U206" i="3"/>
  <c r="U114" i="14" l="1"/>
  <c r="U113" i="14"/>
  <c r="Q136" i="3"/>
  <c r="T136" i="3"/>
  <c r="T135" i="3"/>
  <c r="R176" i="4"/>
  <c r="R181" i="4"/>
  <c r="Q181" i="4"/>
  <c r="U136" i="3" l="1"/>
  <c r="Q135" i="3"/>
  <c r="I220" i="20" l="1"/>
  <c r="T116" i="14"/>
  <c r="H220" i="20"/>
  <c r="U135" i="3"/>
  <c r="N173" i="6" l="1"/>
  <c r="N180" i="6" s="1"/>
  <c r="N172" i="6"/>
  <c r="N171" i="6"/>
  <c r="N177" i="6" s="1"/>
  <c r="R57" i="14"/>
  <c r="Q57" i="14"/>
  <c r="R56" i="14"/>
  <c r="Q56" i="14"/>
  <c r="R55" i="14"/>
  <c r="Q55" i="14"/>
  <c r="Y201" i="3"/>
  <c r="Q201" i="3" s="1"/>
  <c r="Y200" i="3"/>
  <c r="T201" i="3"/>
  <c r="T200" i="3"/>
  <c r="Y130" i="3"/>
  <c r="Q130" i="3" s="1"/>
  <c r="Y129" i="3"/>
  <c r="Q129" i="3" s="1"/>
  <c r="T130" i="3"/>
  <c r="T129" i="3"/>
  <c r="T131" i="3" l="1"/>
  <c r="H198" i="20"/>
  <c r="Q59" i="14"/>
  <c r="H199" i="20" s="1"/>
  <c r="R59" i="14"/>
  <c r="I199" i="20" s="1"/>
  <c r="T202" i="3"/>
  <c r="J198" i="20" s="1"/>
  <c r="U201" i="3"/>
  <c r="Q200" i="3"/>
  <c r="U200" i="3" s="1"/>
  <c r="U130" i="3"/>
  <c r="U129" i="3"/>
  <c r="U131" i="3" l="1"/>
  <c r="I198" i="20" s="1"/>
  <c r="U202" i="3"/>
  <c r="K198" i="20" s="1"/>
  <c r="R126" i="14" l="1"/>
  <c r="Q126" i="14"/>
  <c r="R124" i="14"/>
  <c r="Q124" i="14"/>
  <c r="Q195" i="3"/>
  <c r="Q194" i="3"/>
  <c r="T195" i="3"/>
  <c r="T194" i="3"/>
  <c r="R269" i="4"/>
  <c r="Q269" i="4"/>
  <c r="R128" i="14" l="1"/>
  <c r="Q128" i="14"/>
  <c r="J186" i="20" s="1"/>
  <c r="K186" i="20"/>
  <c r="U195" i="3"/>
  <c r="U194" i="3"/>
  <c r="Y126" i="3" l="1"/>
  <c r="Q126" i="3" s="1"/>
  <c r="Y125" i="3"/>
  <c r="Q125" i="3" s="1"/>
  <c r="T126" i="3"/>
  <c r="T125" i="3"/>
  <c r="U125" i="3" l="1"/>
  <c r="U126" i="3"/>
  <c r="N151" i="6"/>
  <c r="N158" i="6" s="1"/>
  <c r="N150" i="6"/>
  <c r="N149" i="6"/>
  <c r="R51" i="14"/>
  <c r="Q51" i="14"/>
  <c r="R50" i="14"/>
  <c r="Q50" i="14"/>
  <c r="R49" i="14"/>
  <c r="Q49" i="14"/>
  <c r="Q62" i="3"/>
  <c r="Q61" i="3"/>
  <c r="T62" i="3"/>
  <c r="T61" i="3"/>
  <c r="R61" i="4"/>
  <c r="Q61" i="4"/>
  <c r="R53" i="14" l="1"/>
  <c r="I165" i="20" s="1"/>
  <c r="Q53" i="14"/>
  <c r="H165" i="20" s="1"/>
  <c r="U62" i="3"/>
  <c r="U61" i="3"/>
  <c r="Y189" i="3" l="1"/>
  <c r="Q189" i="3" s="1"/>
  <c r="Y188" i="3"/>
  <c r="Q188" i="3" s="1"/>
  <c r="R85" i="14"/>
  <c r="Q85" i="14"/>
  <c r="Q84" i="14"/>
  <c r="R83" i="14"/>
  <c r="Q83" i="14"/>
  <c r="Q87" i="14" l="1"/>
  <c r="J133" i="20" s="1"/>
  <c r="R87" i="14"/>
  <c r="K133" i="20" s="1"/>
  <c r="Y185" i="3"/>
  <c r="Q185" i="3" s="1"/>
  <c r="Y184" i="3"/>
  <c r="T185" i="3"/>
  <c r="T184" i="3"/>
  <c r="T186" i="3" l="1"/>
  <c r="J132" i="20"/>
  <c r="U185" i="3"/>
  <c r="Q184" i="3"/>
  <c r="U184" i="3" s="1"/>
  <c r="U186" i="3" s="1"/>
  <c r="K132" i="20" l="1"/>
  <c r="K29" i="12"/>
  <c r="J29" i="12"/>
  <c r="F42" i="20" l="1"/>
  <c r="G42" i="20"/>
  <c r="R79" i="14"/>
  <c r="Q79" i="14"/>
  <c r="R78" i="14"/>
  <c r="Q78" i="14"/>
  <c r="R77" i="14"/>
  <c r="Q77" i="14"/>
  <c r="R81" i="14" l="1"/>
  <c r="K98" i="20" s="1"/>
  <c r="Q81" i="14"/>
  <c r="J98" i="20" s="1"/>
  <c r="R75" i="14"/>
  <c r="K83" i="20" s="1"/>
  <c r="Q75" i="14"/>
  <c r="J83" i="20" s="1"/>
  <c r="R47" i="14"/>
  <c r="Q47" i="14"/>
  <c r="R40" i="14"/>
  <c r="G83" i="20" s="1"/>
  <c r="Q40" i="14"/>
  <c r="F83" i="20" s="1"/>
  <c r="H83" i="20" l="1"/>
  <c r="T61" i="14"/>
  <c r="I83" i="20"/>
  <c r="R120" i="14" l="1"/>
  <c r="Q120" i="14"/>
  <c r="R119" i="14"/>
  <c r="Q119" i="14"/>
  <c r="R96" i="14"/>
  <c r="Q96" i="14"/>
  <c r="R95" i="14"/>
  <c r="Q95" i="14"/>
  <c r="R94" i="14"/>
  <c r="Q94" i="14"/>
  <c r="R93" i="14"/>
  <c r="Q93" i="14"/>
  <c r="R92" i="14"/>
  <c r="Q92" i="14"/>
  <c r="R71" i="14"/>
  <c r="Q71" i="14"/>
  <c r="R70" i="14"/>
  <c r="Q70" i="14"/>
  <c r="R69" i="14"/>
  <c r="Q69" i="14"/>
  <c r="R68" i="14"/>
  <c r="Q68" i="14"/>
  <c r="R67" i="14"/>
  <c r="Q67" i="14"/>
  <c r="R66" i="14"/>
  <c r="Q66" i="14"/>
  <c r="R65" i="14"/>
  <c r="Q65" i="14"/>
  <c r="R64" i="14"/>
  <c r="Q64" i="14"/>
  <c r="R36" i="14"/>
  <c r="Q36" i="14"/>
  <c r="R35" i="14"/>
  <c r="Q35" i="14"/>
  <c r="Q169" i="3"/>
  <c r="T169" i="3"/>
  <c r="T168" i="3"/>
  <c r="Y98" i="3"/>
  <c r="Q98" i="3" s="1"/>
  <c r="T98" i="3"/>
  <c r="Q122" i="14" l="1"/>
  <c r="R122" i="14"/>
  <c r="T172" i="3"/>
  <c r="R38" i="14"/>
  <c r="U98" i="3"/>
  <c r="Q98" i="14"/>
  <c r="Q38" i="14"/>
  <c r="R98" i="14"/>
  <c r="Q73" i="14"/>
  <c r="R73" i="14"/>
  <c r="U169" i="3"/>
  <c r="Q168" i="3"/>
  <c r="J6" i="20" l="1"/>
  <c r="K7" i="20"/>
  <c r="J9" i="20"/>
  <c r="J7" i="20"/>
  <c r="F7" i="20"/>
  <c r="K9" i="20"/>
  <c r="L7" i="20"/>
  <c r="G7" i="20"/>
  <c r="U168" i="3"/>
  <c r="U172" i="3" s="1"/>
  <c r="K6" i="20" l="1"/>
  <c r="N424" i="6"/>
  <c r="M424" i="6"/>
  <c r="N423" i="6"/>
  <c r="M423" i="6"/>
  <c r="N422" i="6"/>
  <c r="M422" i="6"/>
  <c r="N421" i="6"/>
  <c r="M421" i="6"/>
  <c r="N420" i="6"/>
  <c r="M420" i="6"/>
  <c r="N419" i="6"/>
  <c r="M419" i="6"/>
  <c r="N418" i="6"/>
  <c r="M418" i="6"/>
  <c r="N417" i="6"/>
  <c r="M417" i="6"/>
  <c r="N413" i="6"/>
  <c r="M413" i="6"/>
  <c r="N412" i="6"/>
  <c r="M412" i="6"/>
  <c r="N245" i="6"/>
  <c r="N251" i="6" s="1"/>
  <c r="M245" i="6"/>
  <c r="M251" i="6" s="1"/>
  <c r="N244" i="6"/>
  <c r="N250" i="6" s="1"/>
  <c r="M244" i="6"/>
  <c r="M250" i="6" s="1"/>
  <c r="N243" i="6"/>
  <c r="N249" i="6" s="1"/>
  <c r="M243" i="6"/>
  <c r="M249" i="6" s="1"/>
  <c r="N242" i="6"/>
  <c r="M242" i="6"/>
  <c r="N241" i="6"/>
  <c r="N248" i="6" s="1"/>
  <c r="M241" i="6"/>
  <c r="M248" i="6" s="1"/>
  <c r="N240" i="6"/>
  <c r="M240" i="6"/>
  <c r="K29" i="13" l="1"/>
  <c r="I363" i="20"/>
  <c r="M247" i="6"/>
  <c r="N433" i="6"/>
  <c r="N247" i="6"/>
  <c r="M435" i="6"/>
  <c r="M433" i="6"/>
  <c r="M431" i="6"/>
  <c r="N435" i="6"/>
  <c r="N431" i="6"/>
  <c r="N430" i="6"/>
  <c r="M430" i="6"/>
  <c r="N239" i="6"/>
  <c r="N246" i="6" s="1"/>
  <c r="M239" i="6"/>
  <c r="M246" i="6" s="1"/>
  <c r="R303" i="4"/>
  <c r="Q303" i="4"/>
  <c r="J29" i="13" l="1"/>
  <c r="H363" i="20"/>
  <c r="P251" i="6"/>
  <c r="N231" i="6"/>
  <c r="N235" i="6" s="1"/>
  <c r="M231" i="6"/>
  <c r="M235" i="6" s="1"/>
  <c r="N230" i="6"/>
  <c r="N234" i="6" s="1"/>
  <c r="M230" i="6"/>
  <c r="M234" i="6" s="1"/>
  <c r="N229" i="6"/>
  <c r="N233" i="6" s="1"/>
  <c r="M229" i="6"/>
  <c r="M233" i="6" s="1"/>
  <c r="N228" i="6"/>
  <c r="N232" i="6" s="1"/>
  <c r="M228" i="6"/>
  <c r="M232" i="6" s="1"/>
  <c r="R213" i="4"/>
  <c r="Q213" i="4"/>
  <c r="N399" i="6" l="1"/>
  <c r="N406" i="6" s="1"/>
  <c r="M399" i="6"/>
  <c r="M406" i="6" s="1"/>
  <c r="N398" i="6"/>
  <c r="N405" i="6" s="1"/>
  <c r="M398" i="6"/>
  <c r="M405" i="6" s="1"/>
  <c r="N397" i="6"/>
  <c r="N404" i="6" s="1"/>
  <c r="M397" i="6"/>
  <c r="M404" i="6" s="1"/>
  <c r="N396" i="6"/>
  <c r="N403" i="6" s="1"/>
  <c r="M396" i="6"/>
  <c r="M403" i="6" s="1"/>
  <c r="N214" i="6"/>
  <c r="M214" i="6"/>
  <c r="N213" i="6"/>
  <c r="M213" i="6"/>
  <c r="N212" i="6"/>
  <c r="M212" i="6"/>
  <c r="N211" i="6"/>
  <c r="M211" i="6"/>
  <c r="N210" i="6"/>
  <c r="M210" i="6"/>
  <c r="N209" i="6"/>
  <c r="M209" i="6"/>
  <c r="N208" i="6"/>
  <c r="M208" i="6"/>
  <c r="N207" i="6"/>
  <c r="M207" i="6"/>
  <c r="N95" i="6"/>
  <c r="N102" i="6" s="1"/>
  <c r="M95" i="6"/>
  <c r="M102" i="6" s="1"/>
  <c r="N94" i="6"/>
  <c r="N101" i="6" s="1"/>
  <c r="M94" i="6"/>
  <c r="M101" i="6" s="1"/>
  <c r="N93" i="6"/>
  <c r="N100" i="6" s="1"/>
  <c r="M93" i="6"/>
  <c r="M100" i="6" s="1"/>
  <c r="N92" i="6"/>
  <c r="N99" i="6" s="1"/>
  <c r="M92" i="6"/>
  <c r="M99" i="6" s="1"/>
  <c r="M221" i="6" l="1"/>
  <c r="N220" i="6"/>
  <c r="N219" i="6"/>
  <c r="M218" i="6"/>
  <c r="N221" i="6"/>
  <c r="M220" i="6"/>
  <c r="M219" i="6"/>
  <c r="N218" i="6"/>
  <c r="H271" i="20" l="1"/>
  <c r="I271" i="20" l="1"/>
  <c r="T114" i="2" l="1"/>
  <c r="I114" i="2" s="1"/>
  <c r="P114" i="2" s="1"/>
  <c r="T113" i="2"/>
  <c r="I113" i="2" s="1"/>
  <c r="P113" i="2" s="1"/>
  <c r="O114" i="2"/>
  <c r="O113" i="2"/>
  <c r="O115" i="2" l="1"/>
  <c r="P115" i="2"/>
  <c r="T89" i="2" l="1"/>
  <c r="I89" i="2" s="1"/>
  <c r="P89" i="2" s="1"/>
  <c r="T88" i="2"/>
  <c r="I88" i="2" s="1"/>
  <c r="P88" i="2" s="1"/>
  <c r="O89" i="2"/>
  <c r="O88" i="2"/>
  <c r="T85" i="2"/>
  <c r="I85" i="2" s="1"/>
  <c r="P85" i="2" s="1"/>
  <c r="T84" i="2"/>
  <c r="I84" i="2" s="1"/>
  <c r="P84" i="2" s="1"/>
  <c r="O85" i="2"/>
  <c r="O84" i="2"/>
  <c r="O86" i="2" l="1"/>
  <c r="O90" i="2"/>
  <c r="P90" i="2"/>
  <c r="P86" i="2"/>
  <c r="T44" i="2"/>
  <c r="I44" i="2" s="1"/>
  <c r="P44" i="2" s="1"/>
  <c r="T43" i="2"/>
  <c r="O44" i="2"/>
  <c r="O43" i="2"/>
  <c r="O45" i="2" l="1"/>
  <c r="I43" i="2"/>
  <c r="P43" i="2" s="1"/>
  <c r="P45" i="2" s="1"/>
  <c r="N336" i="6" l="1"/>
  <c r="M336" i="6"/>
  <c r="N335" i="6"/>
  <c r="N342" i="6" s="1"/>
  <c r="M335" i="6"/>
  <c r="M342" i="6" s="1"/>
  <c r="N334" i="6"/>
  <c r="M334" i="6"/>
  <c r="N333" i="6"/>
  <c r="M333" i="6"/>
  <c r="N471" i="6"/>
  <c r="N477" i="6" s="1"/>
  <c r="M471" i="6"/>
  <c r="M477" i="6" s="1"/>
  <c r="N470" i="6"/>
  <c r="M470" i="6"/>
  <c r="N469" i="6"/>
  <c r="M469" i="6"/>
  <c r="N328" i="6"/>
  <c r="M328" i="6"/>
  <c r="N321" i="6" l="1"/>
  <c r="M321" i="6"/>
  <c r="N323" i="6" l="1"/>
  <c r="M323" i="6"/>
  <c r="N318" i="6" l="1"/>
  <c r="M318" i="6"/>
  <c r="N317" i="6"/>
  <c r="M317" i="6"/>
  <c r="Y181" i="3" l="1"/>
  <c r="Q181" i="3" s="1"/>
  <c r="Y180" i="3"/>
  <c r="T181" i="3"/>
  <c r="T123" i="2"/>
  <c r="I123" i="2" s="1"/>
  <c r="P123" i="2" s="1"/>
  <c r="T122" i="2"/>
  <c r="I122" i="2" s="1"/>
  <c r="P122" i="2" s="1"/>
  <c r="O123" i="2"/>
  <c r="O122" i="2"/>
  <c r="T106" i="2"/>
  <c r="I106" i="2" s="1"/>
  <c r="P106" i="2" s="1"/>
  <c r="T105" i="2"/>
  <c r="O106" i="2"/>
  <c r="O105" i="2"/>
  <c r="T81" i="2"/>
  <c r="I81" i="2" s="1"/>
  <c r="P81" i="2" s="1"/>
  <c r="T80" i="2"/>
  <c r="I80" i="2" s="1"/>
  <c r="P80" i="2" s="1"/>
  <c r="O81" i="2"/>
  <c r="O80" i="2"/>
  <c r="T40" i="2"/>
  <c r="I40" i="2" s="1"/>
  <c r="P40" i="2" s="1"/>
  <c r="T39" i="2"/>
  <c r="I39" i="2" s="1"/>
  <c r="P39" i="2" s="1"/>
  <c r="O40" i="2"/>
  <c r="O39" i="2"/>
  <c r="O107" i="2" l="1"/>
  <c r="O41" i="2"/>
  <c r="O124" i="2"/>
  <c r="U181" i="3"/>
  <c r="P124" i="2"/>
  <c r="O82" i="2"/>
  <c r="I105" i="2"/>
  <c r="P105" i="2" s="1"/>
  <c r="P107" i="2" s="1"/>
  <c r="P82" i="2"/>
  <c r="P41" i="2"/>
  <c r="T102" i="2" l="1"/>
  <c r="I102" i="2" s="1"/>
  <c r="P102" i="2" s="1"/>
  <c r="T101" i="2"/>
  <c r="I101" i="2" s="1"/>
  <c r="P101" i="2" s="1"/>
  <c r="O102" i="2"/>
  <c r="O101" i="2"/>
  <c r="T77" i="2"/>
  <c r="O77" i="2"/>
  <c r="T76" i="2"/>
  <c r="I76" i="2" s="1"/>
  <c r="P76" i="2" s="1"/>
  <c r="O76" i="2"/>
  <c r="T36" i="2"/>
  <c r="T35" i="2"/>
  <c r="I35" i="2" s="1"/>
  <c r="P35" i="2" s="1"/>
  <c r="O36" i="2"/>
  <c r="O35" i="2"/>
  <c r="O103" i="2" l="1"/>
  <c r="O37" i="2"/>
  <c r="O78" i="2"/>
  <c r="P103" i="2"/>
  <c r="I77" i="2"/>
  <c r="P77" i="2" s="1"/>
  <c r="P78" i="2" s="1"/>
  <c r="I36" i="2"/>
  <c r="P36" i="2" s="1"/>
  <c r="P37" i="2" s="1"/>
  <c r="T98" i="2" l="1"/>
  <c r="I98" i="2" s="1"/>
  <c r="P98" i="2" s="1"/>
  <c r="T97" i="2"/>
  <c r="I97" i="2" s="1"/>
  <c r="P97" i="2" s="1"/>
  <c r="O98" i="2"/>
  <c r="O97" i="2"/>
  <c r="T73" i="2"/>
  <c r="I73" i="2" s="1"/>
  <c r="P73" i="2" s="1"/>
  <c r="T72" i="2"/>
  <c r="I72" i="2" s="1"/>
  <c r="P72" i="2" s="1"/>
  <c r="O73" i="2"/>
  <c r="O72" i="2"/>
  <c r="T32" i="2"/>
  <c r="I32" i="2" s="1"/>
  <c r="P32" i="2" s="1"/>
  <c r="T31" i="2"/>
  <c r="I31" i="2" s="1"/>
  <c r="P31" i="2" s="1"/>
  <c r="O32" i="2"/>
  <c r="O31" i="2"/>
  <c r="N122" i="6"/>
  <c r="M122" i="6"/>
  <c r="N121" i="6"/>
  <c r="M121" i="6"/>
  <c r="N120" i="6"/>
  <c r="M120" i="6"/>
  <c r="N119" i="6"/>
  <c r="M119" i="6"/>
  <c r="M124" i="6" l="1"/>
  <c r="N124" i="6"/>
  <c r="O74" i="2"/>
  <c r="O99" i="2"/>
  <c r="P99" i="2"/>
  <c r="O33" i="2"/>
  <c r="P74" i="2"/>
  <c r="P33" i="2"/>
  <c r="H48" i="20" l="1"/>
  <c r="R140" i="4"/>
  <c r="O78" i="10" l="1"/>
  <c r="G394" i="20" s="1"/>
  <c r="N78" i="10"/>
  <c r="F394" i="20" s="1"/>
  <c r="O77" i="10"/>
  <c r="G393" i="20" s="1"/>
  <c r="N77" i="10"/>
  <c r="F393" i="20" s="1"/>
  <c r="X44" i="11" l="1"/>
  <c r="O44" i="11"/>
  <c r="Y44" i="11" s="1"/>
  <c r="O198" i="10" l="1"/>
  <c r="M387" i="20" s="1"/>
  <c r="N198" i="10"/>
  <c r="L387" i="20" s="1"/>
  <c r="O197" i="10"/>
  <c r="M386" i="20" s="1"/>
  <c r="N197" i="10"/>
  <c r="L386" i="20" s="1"/>
  <c r="O176" i="10"/>
  <c r="K387" i="20" s="1"/>
  <c r="N176" i="10"/>
  <c r="J387" i="20" s="1"/>
  <c r="O175" i="10"/>
  <c r="K386" i="20" s="1"/>
  <c r="N175" i="10"/>
  <c r="J386" i="20" s="1"/>
  <c r="K35" i="12"/>
  <c r="J35" i="12"/>
  <c r="K387" i="7"/>
  <c r="M376" i="20" s="1"/>
  <c r="K386" i="7"/>
  <c r="M375" i="20" s="1"/>
  <c r="K385" i="7"/>
  <c r="M374" i="20" s="1"/>
  <c r="K384" i="7"/>
  <c r="M373" i="20" s="1"/>
  <c r="K383" i="7"/>
  <c r="M372" i="20" s="1"/>
  <c r="K382" i="7"/>
  <c r="M371" i="20" s="1"/>
  <c r="K381" i="7"/>
  <c r="M370" i="20" s="1"/>
  <c r="J387" i="7"/>
  <c r="L376" i="20" s="1"/>
  <c r="J386" i="7"/>
  <c r="L375" i="20" s="1"/>
  <c r="J385" i="7"/>
  <c r="L374" i="20" s="1"/>
  <c r="J384" i="7"/>
  <c r="L373" i="20" s="1"/>
  <c r="J383" i="7"/>
  <c r="L372" i="20" s="1"/>
  <c r="J382" i="7"/>
  <c r="L371" i="20" s="1"/>
  <c r="J381" i="7"/>
  <c r="Q235" i="3"/>
  <c r="T235" i="3"/>
  <c r="T234" i="3"/>
  <c r="T236" i="3" s="1"/>
  <c r="Q223" i="3"/>
  <c r="T223" i="3"/>
  <c r="T222" i="3"/>
  <c r="I43" i="5"/>
  <c r="M368" i="20" s="1"/>
  <c r="I38" i="5"/>
  <c r="L35" i="12" l="1"/>
  <c r="L385" i="20"/>
  <c r="M385" i="20"/>
  <c r="M35" i="12"/>
  <c r="T224" i="3"/>
  <c r="J367" i="20" s="1"/>
  <c r="H38" i="5"/>
  <c r="J368" i="20" s="1"/>
  <c r="K368" i="20"/>
  <c r="H43" i="5"/>
  <c r="L368" i="20" s="1"/>
  <c r="M387" i="7"/>
  <c r="L387" i="7"/>
  <c r="L370" i="20"/>
  <c r="L367" i="20"/>
  <c r="U235" i="3"/>
  <c r="Q234" i="3"/>
  <c r="U223" i="3"/>
  <c r="Q222" i="3"/>
  <c r="U234" i="3" l="1"/>
  <c r="U222" i="3"/>
  <c r="U224" i="3" l="1"/>
  <c r="K367" i="20" s="1"/>
  <c r="U236" i="3"/>
  <c r="R334" i="4"/>
  <c r="R338" i="4"/>
  <c r="Q338" i="4"/>
  <c r="R336" i="4"/>
  <c r="Q336" i="4"/>
  <c r="R335" i="4"/>
  <c r="Q335" i="4"/>
  <c r="Q334" i="4"/>
  <c r="R309" i="4"/>
  <c r="R313" i="4"/>
  <c r="Q313" i="4"/>
  <c r="R311" i="4"/>
  <c r="Q311" i="4"/>
  <c r="R310" i="4"/>
  <c r="Q310" i="4"/>
  <c r="Q309" i="4"/>
  <c r="R333" i="4"/>
  <c r="Q333" i="4"/>
  <c r="I127" i="2"/>
  <c r="P127" i="2" s="1"/>
  <c r="O127" i="2"/>
  <c r="O126" i="2"/>
  <c r="I117" i="2"/>
  <c r="P117" i="2" s="1"/>
  <c r="O118" i="2"/>
  <c r="O117" i="2"/>
  <c r="H80" i="1"/>
  <c r="P80" i="1" s="1"/>
  <c r="O80" i="1"/>
  <c r="O79" i="1"/>
  <c r="H75" i="1"/>
  <c r="P75" i="1" s="1"/>
  <c r="O75" i="1"/>
  <c r="O74" i="1"/>
  <c r="H74" i="1"/>
  <c r="P74" i="1" s="1"/>
  <c r="Q340" i="4" l="1"/>
  <c r="R315" i="4"/>
  <c r="R340" i="4"/>
  <c r="Q315" i="4"/>
  <c r="O76" i="1"/>
  <c r="O81" i="1"/>
  <c r="O119" i="2"/>
  <c r="J366" i="20" s="1"/>
  <c r="O128" i="2"/>
  <c r="I126" i="2"/>
  <c r="P126" i="2" s="1"/>
  <c r="P128" i="2" s="1"/>
  <c r="I118" i="2"/>
  <c r="P118" i="2" s="1"/>
  <c r="P119" i="2" s="1"/>
  <c r="H79" i="1"/>
  <c r="P79" i="1" s="1"/>
  <c r="P81" i="1" s="1"/>
  <c r="P76" i="1"/>
  <c r="L366" i="20" l="1"/>
  <c r="Q128" i="2"/>
  <c r="N195" i="10"/>
  <c r="L365" i="20" s="1"/>
  <c r="O194" i="10"/>
  <c r="M364" i="20" s="1"/>
  <c r="N194" i="10"/>
  <c r="L364" i="20" s="1"/>
  <c r="O173" i="10"/>
  <c r="K365" i="20" s="1"/>
  <c r="N173" i="10"/>
  <c r="J365" i="20" s="1"/>
  <c r="O172" i="10"/>
  <c r="K364" i="20" s="1"/>
  <c r="N172" i="10"/>
  <c r="J364" i="20" s="1"/>
  <c r="O127" i="10"/>
  <c r="I365" i="20" s="1"/>
  <c r="N127" i="10"/>
  <c r="H365" i="20" s="1"/>
  <c r="O126" i="10"/>
  <c r="I364" i="20" s="1"/>
  <c r="N126" i="10"/>
  <c r="H364" i="20" s="1"/>
  <c r="I101" i="8"/>
  <c r="I100" i="8"/>
  <c r="H100" i="8" s="1"/>
  <c r="K346" i="7"/>
  <c r="J346" i="7"/>
  <c r="K345" i="7"/>
  <c r="K360" i="20" s="1"/>
  <c r="J345" i="7"/>
  <c r="J360" i="20" s="1"/>
  <c r="K344" i="7"/>
  <c r="K359" i="20" s="1"/>
  <c r="J344" i="7"/>
  <c r="J359" i="20" s="1"/>
  <c r="K343" i="7"/>
  <c r="K358" i="20" s="1"/>
  <c r="J343" i="7"/>
  <c r="J358" i="20" s="1"/>
  <c r="K342" i="7"/>
  <c r="K357" i="20" s="1"/>
  <c r="J342" i="7"/>
  <c r="J357" i="20" s="1"/>
  <c r="K341" i="7"/>
  <c r="K356" i="20" s="1"/>
  <c r="J341" i="7"/>
  <c r="J356" i="20" s="1"/>
  <c r="K340" i="7"/>
  <c r="J340" i="7"/>
  <c r="K225" i="7"/>
  <c r="I361" i="20" s="1"/>
  <c r="J225" i="7"/>
  <c r="H361" i="20" s="1"/>
  <c r="K224" i="7"/>
  <c r="I360" i="20" s="1"/>
  <c r="J224" i="7"/>
  <c r="H360" i="20" s="1"/>
  <c r="K223" i="7"/>
  <c r="I359" i="20" s="1"/>
  <c r="J223" i="7"/>
  <c r="H359" i="20" s="1"/>
  <c r="K222" i="7"/>
  <c r="I358" i="20" s="1"/>
  <c r="J222" i="7"/>
  <c r="H358" i="20" s="1"/>
  <c r="K221" i="7"/>
  <c r="I357" i="20" s="1"/>
  <c r="J221" i="7"/>
  <c r="H357" i="20" s="1"/>
  <c r="K220" i="7"/>
  <c r="I356" i="20" s="1"/>
  <c r="J220" i="7"/>
  <c r="H356" i="20" s="1"/>
  <c r="K219" i="7"/>
  <c r="I355" i="20" s="1"/>
  <c r="J219" i="7"/>
  <c r="Y162" i="3"/>
  <c r="Q162" i="3" s="1"/>
  <c r="Y161" i="3"/>
  <c r="T162" i="3"/>
  <c r="T161" i="3"/>
  <c r="N427" i="6"/>
  <c r="M427" i="6"/>
  <c r="N426" i="6"/>
  <c r="M426" i="6"/>
  <c r="N425" i="6"/>
  <c r="M425" i="6"/>
  <c r="T165" i="3" l="1"/>
  <c r="J361" i="20"/>
  <c r="K361" i="20"/>
  <c r="H101" i="8"/>
  <c r="J362" i="20" s="1"/>
  <c r="K362" i="20"/>
  <c r="M346" i="7"/>
  <c r="K355" i="20"/>
  <c r="M225" i="7"/>
  <c r="L225" i="7"/>
  <c r="H355" i="20"/>
  <c r="L346" i="7"/>
  <c r="J355" i="20"/>
  <c r="H346" i="20"/>
  <c r="Q161" i="3"/>
  <c r="U162" i="3"/>
  <c r="N416" i="6"/>
  <c r="N434" i="6" s="1"/>
  <c r="M416" i="6"/>
  <c r="M434" i="6" s="1"/>
  <c r="N415" i="6"/>
  <c r="M415" i="6"/>
  <c r="U161" i="3" l="1"/>
  <c r="N414" i="6"/>
  <c r="N432" i="6" s="1"/>
  <c r="M414" i="6"/>
  <c r="M432" i="6" s="1"/>
  <c r="N411" i="6"/>
  <c r="N428" i="6" s="1"/>
  <c r="M411" i="6"/>
  <c r="M428" i="6" s="1"/>
  <c r="N410" i="6"/>
  <c r="N429" i="6" s="1"/>
  <c r="M410" i="6"/>
  <c r="M429" i="6" s="1"/>
  <c r="R305" i="4"/>
  <c r="Q305" i="4"/>
  <c r="R304" i="4"/>
  <c r="Q304" i="4"/>
  <c r="R302" i="4"/>
  <c r="Q302" i="4"/>
  <c r="R301" i="4"/>
  <c r="Q301" i="4"/>
  <c r="R300" i="4"/>
  <c r="Q300" i="4"/>
  <c r="R218" i="4"/>
  <c r="R217" i="4"/>
  <c r="R222" i="4"/>
  <c r="Q222" i="4"/>
  <c r="R221" i="4"/>
  <c r="Q221" i="4"/>
  <c r="R219" i="4"/>
  <c r="Q219" i="4"/>
  <c r="Q218" i="4"/>
  <c r="Q217" i="4"/>
  <c r="Q224" i="4" s="1"/>
  <c r="U165" i="3" l="1"/>
  <c r="I346" i="20" s="1"/>
  <c r="R224" i="4"/>
  <c r="I345" i="20" s="1"/>
  <c r="R307" i="4"/>
  <c r="Q307" i="4"/>
  <c r="J345" i="20"/>
  <c r="K345" i="20"/>
  <c r="H345" i="20"/>
  <c r="O124" i="10"/>
  <c r="I344" i="20" s="1"/>
  <c r="N124" i="10"/>
  <c r="H344" i="20" s="1"/>
  <c r="O123" i="10"/>
  <c r="I343" i="20" s="1"/>
  <c r="N123" i="10"/>
  <c r="H343" i="20" s="1"/>
  <c r="K32" i="12"/>
  <c r="I342" i="20" s="1"/>
  <c r="J32" i="12"/>
  <c r="H342" i="20" s="1"/>
  <c r="I67" i="8"/>
  <c r="I66" i="8"/>
  <c r="K217" i="7"/>
  <c r="J217" i="7"/>
  <c r="K216" i="7"/>
  <c r="I331" i="20" s="1"/>
  <c r="J216" i="7"/>
  <c r="H331" i="20" s="1"/>
  <c r="K215" i="7"/>
  <c r="I330" i="20" s="1"/>
  <c r="J215" i="7"/>
  <c r="H330" i="20" s="1"/>
  <c r="K214" i="7"/>
  <c r="I329" i="20" s="1"/>
  <c r="J214" i="7"/>
  <c r="H329" i="20" s="1"/>
  <c r="K213" i="7"/>
  <c r="I328" i="20" s="1"/>
  <c r="J213" i="7"/>
  <c r="H328" i="20" s="1"/>
  <c r="K212" i="7"/>
  <c r="I327" i="20" s="1"/>
  <c r="J212" i="7"/>
  <c r="H327" i="20" s="1"/>
  <c r="K211" i="7"/>
  <c r="I326" i="20" s="1"/>
  <c r="J211" i="7"/>
  <c r="N227" i="6"/>
  <c r="M227" i="6"/>
  <c r="N226" i="6"/>
  <c r="N237" i="6" s="1"/>
  <c r="M226" i="6"/>
  <c r="M237" i="6" s="1"/>
  <c r="N225" i="6"/>
  <c r="M225" i="6"/>
  <c r="R212" i="4"/>
  <c r="Q212" i="4"/>
  <c r="R211" i="4"/>
  <c r="Q211" i="4"/>
  <c r="R215" i="4" l="1"/>
  <c r="I332" i="20"/>
  <c r="H66" i="8"/>
  <c r="K67" i="8"/>
  <c r="H67" i="8"/>
  <c r="H333" i="20" s="1"/>
  <c r="I333" i="20"/>
  <c r="L217" i="7"/>
  <c r="H326" i="20"/>
  <c r="M217" i="7"/>
  <c r="Q215" i="4"/>
  <c r="M236" i="6"/>
  <c r="N236" i="6"/>
  <c r="P237" i="6" s="1"/>
  <c r="J67" i="8" l="1"/>
  <c r="H332" i="20"/>
  <c r="O75" i="10"/>
  <c r="G317" i="20" s="1"/>
  <c r="N75" i="10"/>
  <c r="F317" i="20" s="1"/>
  <c r="O74" i="10"/>
  <c r="G316" i="20" s="1"/>
  <c r="N74" i="10"/>
  <c r="F316" i="20" s="1"/>
  <c r="I42" i="8"/>
  <c r="I41" i="8"/>
  <c r="K104" i="7"/>
  <c r="J104" i="7"/>
  <c r="K103" i="7"/>
  <c r="G313" i="20" s="1"/>
  <c r="J103" i="7"/>
  <c r="F313" i="20" s="1"/>
  <c r="K102" i="7"/>
  <c r="G312" i="20" s="1"/>
  <c r="J102" i="7"/>
  <c r="F312" i="20" s="1"/>
  <c r="K101" i="7"/>
  <c r="G311" i="20" s="1"/>
  <c r="J101" i="7"/>
  <c r="F311" i="20" s="1"/>
  <c r="K100" i="7"/>
  <c r="G310" i="20" s="1"/>
  <c r="J100" i="7"/>
  <c r="F310" i="20" s="1"/>
  <c r="K99" i="7"/>
  <c r="G309" i="20" s="1"/>
  <c r="J99" i="7"/>
  <c r="F309" i="20" s="1"/>
  <c r="K98" i="7"/>
  <c r="J98" i="7"/>
  <c r="N108" i="6"/>
  <c r="M108" i="6"/>
  <c r="N107" i="6"/>
  <c r="N110" i="6" s="1"/>
  <c r="M107" i="6"/>
  <c r="M110" i="6" s="1"/>
  <c r="N106" i="6"/>
  <c r="M106" i="6"/>
  <c r="G314" i="20" l="1"/>
  <c r="H42" i="8"/>
  <c r="F315" i="20" s="1"/>
  <c r="G315" i="20"/>
  <c r="H41" i="8"/>
  <c r="J42" i="8" s="1"/>
  <c r="K42" i="8"/>
  <c r="L104" i="7"/>
  <c r="F308" i="20"/>
  <c r="M104" i="7"/>
  <c r="G308" i="20"/>
  <c r="M109" i="6"/>
  <c r="O110" i="6" s="1"/>
  <c r="N109" i="6"/>
  <c r="P110" i="6" s="1"/>
  <c r="R122" i="4"/>
  <c r="Q122" i="4"/>
  <c r="R121" i="4"/>
  <c r="Q121" i="4"/>
  <c r="R120" i="4"/>
  <c r="Q120" i="4"/>
  <c r="F314" i="20" l="1"/>
  <c r="Q124" i="4"/>
  <c r="R124" i="4"/>
  <c r="O170" i="10" l="1"/>
  <c r="K303" i="20" s="1"/>
  <c r="N170" i="10"/>
  <c r="J303" i="20" s="1"/>
  <c r="O169" i="10"/>
  <c r="K302" i="20" s="1"/>
  <c r="N169" i="10"/>
  <c r="J302" i="20" s="1"/>
  <c r="O121" i="10"/>
  <c r="I303" i="20" s="1"/>
  <c r="N121" i="10"/>
  <c r="H303" i="20" s="1"/>
  <c r="O120" i="10"/>
  <c r="I302" i="20" s="1"/>
  <c r="N120" i="10"/>
  <c r="H302" i="20" s="1"/>
  <c r="O72" i="10"/>
  <c r="G303" i="20" s="1"/>
  <c r="N72" i="10"/>
  <c r="F303" i="20" s="1"/>
  <c r="O71" i="10"/>
  <c r="G302" i="20" s="1"/>
  <c r="N71" i="10"/>
  <c r="F302" i="20" s="1"/>
  <c r="I64" i="8"/>
  <c r="I63" i="8"/>
  <c r="I39" i="8"/>
  <c r="I38" i="8"/>
  <c r="K338" i="7"/>
  <c r="K300" i="20" s="1"/>
  <c r="J338" i="7"/>
  <c r="J300" i="20" s="1"/>
  <c r="K337" i="7"/>
  <c r="K299" i="20" s="1"/>
  <c r="J337" i="7"/>
  <c r="J299" i="20" s="1"/>
  <c r="K336" i="7"/>
  <c r="K298" i="20" s="1"/>
  <c r="J336" i="7"/>
  <c r="J298" i="20" s="1"/>
  <c r="K335" i="7"/>
  <c r="K297" i="20" s="1"/>
  <c r="J335" i="7"/>
  <c r="J297" i="20" s="1"/>
  <c r="J334" i="7"/>
  <c r="J296" i="20" s="1"/>
  <c r="K333" i="7"/>
  <c r="J333" i="7"/>
  <c r="J295" i="20" s="1"/>
  <c r="J332" i="7"/>
  <c r="J294" i="20" s="1"/>
  <c r="K209" i="7"/>
  <c r="I300" i="20" s="1"/>
  <c r="J209" i="7"/>
  <c r="K208" i="7"/>
  <c r="I299" i="20" s="1"/>
  <c r="J208" i="7"/>
  <c r="H299" i="20" s="1"/>
  <c r="K207" i="7"/>
  <c r="I298" i="20" s="1"/>
  <c r="J207" i="7"/>
  <c r="H298" i="20" s="1"/>
  <c r="K206" i="7"/>
  <c r="I297" i="20" s="1"/>
  <c r="J206" i="7"/>
  <c r="H297" i="20" s="1"/>
  <c r="K205" i="7"/>
  <c r="I296" i="20" s="1"/>
  <c r="J205" i="7"/>
  <c r="H296" i="20" s="1"/>
  <c r="K204" i="7"/>
  <c r="I295" i="20" s="1"/>
  <c r="J204" i="7"/>
  <c r="H295" i="20" s="1"/>
  <c r="K203" i="7"/>
  <c r="I294" i="20" s="1"/>
  <c r="J203" i="7"/>
  <c r="K96" i="7"/>
  <c r="G300" i="20" s="1"/>
  <c r="J96" i="7"/>
  <c r="K95" i="7"/>
  <c r="G299" i="20" s="1"/>
  <c r="J95" i="7"/>
  <c r="F299" i="20" s="1"/>
  <c r="K94" i="7"/>
  <c r="G298" i="20" s="1"/>
  <c r="J94" i="7"/>
  <c r="F298" i="20" s="1"/>
  <c r="K93" i="7"/>
  <c r="G297" i="20" s="1"/>
  <c r="J93" i="7"/>
  <c r="F297" i="20" s="1"/>
  <c r="K92" i="7"/>
  <c r="G296" i="20" s="1"/>
  <c r="J92" i="7"/>
  <c r="F296" i="20" s="1"/>
  <c r="K91" i="7"/>
  <c r="G295" i="20" s="1"/>
  <c r="J91" i="7"/>
  <c r="F295" i="20" s="1"/>
  <c r="K90" i="7"/>
  <c r="G294" i="20" s="1"/>
  <c r="J90" i="7"/>
  <c r="N402" i="6"/>
  <c r="M402" i="6"/>
  <c r="N401" i="6"/>
  <c r="N408" i="6" s="1"/>
  <c r="M401" i="6"/>
  <c r="M408" i="6" s="1"/>
  <c r="N400" i="6"/>
  <c r="M400" i="6"/>
  <c r="N217" i="6"/>
  <c r="M217" i="6"/>
  <c r="N216" i="6"/>
  <c r="N223" i="6" s="1"/>
  <c r="M216" i="6"/>
  <c r="M223" i="6" s="1"/>
  <c r="N215" i="6"/>
  <c r="M215" i="6"/>
  <c r="N98" i="6"/>
  <c r="M98" i="6"/>
  <c r="N97" i="6"/>
  <c r="N104" i="6" s="1"/>
  <c r="M97" i="6"/>
  <c r="M104" i="6" s="1"/>
  <c r="N96" i="6"/>
  <c r="M96" i="6"/>
  <c r="I30" i="5"/>
  <c r="R116" i="4"/>
  <c r="Q116" i="4"/>
  <c r="R113" i="4"/>
  <c r="Q113" i="4"/>
  <c r="R112" i="4"/>
  <c r="Q112" i="4"/>
  <c r="H53" i="1"/>
  <c r="P53" i="1" s="1"/>
  <c r="O53" i="1"/>
  <c r="O52" i="1"/>
  <c r="R110" i="4"/>
  <c r="Q110" i="4"/>
  <c r="Q206" i="4"/>
  <c r="R205" i="4"/>
  <c r="Q205" i="4"/>
  <c r="R204" i="4"/>
  <c r="R209" i="4" s="1"/>
  <c r="Q204" i="4"/>
  <c r="R109" i="4"/>
  <c r="Q109" i="4"/>
  <c r="R108" i="4"/>
  <c r="Q108" i="4"/>
  <c r="Q118" i="4" s="1"/>
  <c r="Q209" i="4" l="1"/>
  <c r="R118" i="4"/>
  <c r="H64" i="8"/>
  <c r="H301" i="20" s="1"/>
  <c r="I301" i="20"/>
  <c r="H38" i="8"/>
  <c r="F300" i="20" s="1"/>
  <c r="K39" i="8"/>
  <c r="H39" i="8"/>
  <c r="F301" i="20" s="1"/>
  <c r="G301" i="20"/>
  <c r="H63" i="8"/>
  <c r="J64" i="8" s="1"/>
  <c r="K64" i="8"/>
  <c r="H30" i="5"/>
  <c r="F285" i="20" s="1"/>
  <c r="G285" i="20"/>
  <c r="K30" i="5"/>
  <c r="K295" i="20"/>
  <c r="M338" i="7"/>
  <c r="L96" i="7"/>
  <c r="F294" i="20"/>
  <c r="L209" i="7"/>
  <c r="H294" i="20"/>
  <c r="M209" i="7"/>
  <c r="M96" i="7"/>
  <c r="L338" i="7"/>
  <c r="O54" i="1"/>
  <c r="N222" i="6"/>
  <c r="P223" i="6" s="1"/>
  <c r="N103" i="6"/>
  <c r="P104" i="6" s="1"/>
  <c r="N407" i="6"/>
  <c r="M407" i="6"/>
  <c r="M222" i="6"/>
  <c r="M103" i="6"/>
  <c r="O104" i="6" s="1"/>
  <c r="H283" i="20"/>
  <c r="I283" i="20"/>
  <c r="H52" i="1"/>
  <c r="P52" i="1" s="1"/>
  <c r="P54" i="1" s="1"/>
  <c r="G283" i="20" l="1"/>
  <c r="H300" i="20"/>
  <c r="J39" i="8"/>
  <c r="F283" i="20"/>
  <c r="O192" i="10"/>
  <c r="M282" i="20" s="1"/>
  <c r="N192" i="10"/>
  <c r="L282" i="20" s="1"/>
  <c r="O191" i="10"/>
  <c r="M281" i="20" s="1"/>
  <c r="N191" i="10"/>
  <c r="L281" i="20" s="1"/>
  <c r="O167" i="10"/>
  <c r="K282" i="20" s="1"/>
  <c r="N167" i="10"/>
  <c r="J282" i="20" s="1"/>
  <c r="O166" i="10"/>
  <c r="K281" i="20" s="1"/>
  <c r="N166" i="10"/>
  <c r="J281" i="20" s="1"/>
  <c r="O118" i="10"/>
  <c r="I282" i="20" s="1"/>
  <c r="N118" i="10"/>
  <c r="H282" i="20" s="1"/>
  <c r="O117" i="10"/>
  <c r="I281" i="20" s="1"/>
  <c r="N117" i="10"/>
  <c r="H281" i="20" s="1"/>
  <c r="O69" i="10"/>
  <c r="G282" i="20" s="1"/>
  <c r="N69" i="10"/>
  <c r="F282" i="20" s="1"/>
  <c r="O68" i="10"/>
  <c r="G281" i="20" s="1"/>
  <c r="N68" i="10"/>
  <c r="F281" i="20" s="1"/>
  <c r="I61" i="8"/>
  <c r="H61" i="8" s="1"/>
  <c r="I60" i="8"/>
  <c r="H60" i="8" s="1"/>
  <c r="I34" i="8"/>
  <c r="H34" i="8" s="1"/>
  <c r="I33" i="8"/>
  <c r="H33" i="8" s="1"/>
  <c r="I32" i="8" l="1"/>
  <c r="I31" i="8"/>
  <c r="K330" i="7"/>
  <c r="K279" i="20" s="1"/>
  <c r="J330" i="7"/>
  <c r="J279" i="20" s="1"/>
  <c r="K329" i="7"/>
  <c r="K278" i="20" s="1"/>
  <c r="J329" i="7"/>
  <c r="J278" i="20" s="1"/>
  <c r="K328" i="7"/>
  <c r="K277" i="20" s="1"/>
  <c r="J328" i="7"/>
  <c r="J277" i="20" s="1"/>
  <c r="K327" i="7"/>
  <c r="K276" i="20" s="1"/>
  <c r="J327" i="7"/>
  <c r="J276" i="20" s="1"/>
  <c r="K326" i="7"/>
  <c r="K275" i="20" s="1"/>
  <c r="J326" i="7"/>
  <c r="J275" i="20" s="1"/>
  <c r="K325" i="7"/>
  <c r="K274" i="20" s="1"/>
  <c r="J325" i="7"/>
  <c r="J274" i="20" s="1"/>
  <c r="K324" i="7"/>
  <c r="J324" i="7"/>
  <c r="K201" i="7"/>
  <c r="I279" i="20" s="1"/>
  <c r="J201" i="7"/>
  <c r="H279" i="20" s="1"/>
  <c r="K200" i="7"/>
  <c r="I278" i="20" s="1"/>
  <c r="J200" i="7"/>
  <c r="H278" i="20" s="1"/>
  <c r="K199" i="7"/>
  <c r="I277" i="20" s="1"/>
  <c r="J199" i="7"/>
  <c r="H277" i="20" s="1"/>
  <c r="K198" i="7"/>
  <c r="I276" i="20" s="1"/>
  <c r="J198" i="7"/>
  <c r="H276" i="20" s="1"/>
  <c r="K197" i="7"/>
  <c r="I275" i="20" s="1"/>
  <c r="J197" i="7"/>
  <c r="H275" i="20" s="1"/>
  <c r="K196" i="7"/>
  <c r="I274" i="20" s="1"/>
  <c r="J196" i="7"/>
  <c r="H274" i="20" s="1"/>
  <c r="K195" i="7"/>
  <c r="I273" i="20" s="1"/>
  <c r="J195" i="7"/>
  <c r="K88" i="7"/>
  <c r="J88" i="7"/>
  <c r="K87" i="7"/>
  <c r="G278" i="20" s="1"/>
  <c r="J87" i="7"/>
  <c r="F278" i="20" s="1"/>
  <c r="K86" i="7"/>
  <c r="G277" i="20" s="1"/>
  <c r="J86" i="7"/>
  <c r="F277" i="20" s="1"/>
  <c r="K85" i="7"/>
  <c r="G276" i="20" s="1"/>
  <c r="J85" i="7"/>
  <c r="F276" i="20" s="1"/>
  <c r="K84" i="7"/>
  <c r="G275" i="20" s="1"/>
  <c r="J84" i="7"/>
  <c r="F275" i="20" s="1"/>
  <c r="K83" i="7"/>
  <c r="G274" i="20" s="1"/>
  <c r="J83" i="7"/>
  <c r="F274" i="20" s="1"/>
  <c r="K82" i="7"/>
  <c r="G273" i="20" s="1"/>
  <c r="J82" i="7"/>
  <c r="F273" i="20" s="1"/>
  <c r="N393" i="6"/>
  <c r="M393" i="6"/>
  <c r="N392" i="6"/>
  <c r="M392" i="6"/>
  <c r="N204" i="6"/>
  <c r="M204" i="6"/>
  <c r="N203" i="6"/>
  <c r="M203" i="6"/>
  <c r="N89" i="6"/>
  <c r="M89" i="6"/>
  <c r="N88" i="6"/>
  <c r="M88" i="6"/>
  <c r="R103" i="4"/>
  <c r="Q103" i="4"/>
  <c r="R102" i="4"/>
  <c r="Q102" i="4"/>
  <c r="R100" i="4"/>
  <c r="Q100" i="4"/>
  <c r="R99" i="4"/>
  <c r="Q99" i="4"/>
  <c r="R98" i="4"/>
  <c r="Q98" i="4"/>
  <c r="Q72" i="3"/>
  <c r="H49" i="1"/>
  <c r="P49" i="1" s="1"/>
  <c r="H48" i="1"/>
  <c r="P48" i="1" s="1"/>
  <c r="R328" i="4"/>
  <c r="R331" i="4" s="1"/>
  <c r="Q328" i="4"/>
  <c r="R296" i="4"/>
  <c r="Q296" i="4"/>
  <c r="R295" i="4"/>
  <c r="R298" i="4" s="1"/>
  <c r="Q295" i="4"/>
  <c r="R200" i="4"/>
  <c r="Q200" i="4"/>
  <c r="R97" i="4"/>
  <c r="Q97" i="4"/>
  <c r="R199" i="4"/>
  <c r="Q199" i="4"/>
  <c r="R95" i="4"/>
  <c r="Q95" i="4"/>
  <c r="R198" i="4"/>
  <c r="Q198" i="4"/>
  <c r="R195" i="4"/>
  <c r="Q195" i="4"/>
  <c r="T72" i="3"/>
  <c r="T71" i="3"/>
  <c r="T79" i="3" s="1"/>
  <c r="O49" i="1"/>
  <c r="O48" i="1"/>
  <c r="R194" i="4"/>
  <c r="Q194" i="4"/>
  <c r="Q193" i="4"/>
  <c r="R92" i="4"/>
  <c r="Q92" i="4"/>
  <c r="R93" i="4"/>
  <c r="Q93" i="4"/>
  <c r="R91" i="4"/>
  <c r="Q91" i="4"/>
  <c r="Q106" i="4" s="1"/>
  <c r="R106" i="4" l="1"/>
  <c r="Q298" i="4"/>
  <c r="F271" i="20"/>
  <c r="Q331" i="4"/>
  <c r="L330" i="7"/>
  <c r="M330" i="7"/>
  <c r="J273" i="20"/>
  <c r="L201" i="7"/>
  <c r="H273" i="20"/>
  <c r="K273" i="20"/>
  <c r="M88" i="7"/>
  <c r="L88" i="7"/>
  <c r="M201" i="7"/>
  <c r="O50" i="1"/>
  <c r="N394" i="6"/>
  <c r="P394" i="6" s="1"/>
  <c r="M90" i="6"/>
  <c r="M394" i="6"/>
  <c r="O394" i="6" s="1"/>
  <c r="N205" i="6"/>
  <c r="P205" i="6" s="1"/>
  <c r="N90" i="6"/>
  <c r="P90" i="6" s="1"/>
  <c r="M205" i="6"/>
  <c r="O205" i="6" s="1"/>
  <c r="H31" i="8"/>
  <c r="H35" i="8" s="1"/>
  <c r="F279" i="20" s="1"/>
  <c r="I35" i="8"/>
  <c r="H32" i="8"/>
  <c r="H36" i="8" s="1"/>
  <c r="F280" i="20" s="1"/>
  <c r="I36" i="8"/>
  <c r="G280" i="20" s="1"/>
  <c r="U72" i="3"/>
  <c r="Q71" i="3"/>
  <c r="P50" i="1"/>
  <c r="K36" i="8" l="1"/>
  <c r="J36" i="8"/>
  <c r="G279" i="20"/>
  <c r="F270" i="20"/>
  <c r="G270" i="20"/>
  <c r="U71" i="3"/>
  <c r="U79" i="3" s="1"/>
  <c r="G271" i="20" l="1"/>
  <c r="N189" i="10"/>
  <c r="L269" i="20" s="1"/>
  <c r="O188" i="10"/>
  <c r="M268" i="20" s="1"/>
  <c r="N188" i="10"/>
  <c r="L268" i="20" s="1"/>
  <c r="K269" i="20"/>
  <c r="N164" i="10"/>
  <c r="J269" i="20" s="1"/>
  <c r="O163" i="10"/>
  <c r="K268" i="20" s="1"/>
  <c r="N163" i="10"/>
  <c r="J268" i="20" s="1"/>
  <c r="O115" i="10"/>
  <c r="I269" i="20" s="1"/>
  <c r="N115" i="10"/>
  <c r="H269" i="20" s="1"/>
  <c r="O114" i="10"/>
  <c r="I268" i="20" s="1"/>
  <c r="N114" i="10"/>
  <c r="H268" i="20" s="1"/>
  <c r="O66" i="10"/>
  <c r="G269" i="20" s="1"/>
  <c r="N66" i="10"/>
  <c r="F269" i="20" s="1"/>
  <c r="O65" i="10"/>
  <c r="G268" i="20" s="1"/>
  <c r="N65" i="10"/>
  <c r="F268" i="20" s="1"/>
  <c r="I45" i="8" l="1"/>
  <c r="H45" i="8" l="1"/>
  <c r="I58" i="8"/>
  <c r="I57" i="8"/>
  <c r="I29" i="8"/>
  <c r="I28" i="8"/>
  <c r="K379" i="7"/>
  <c r="M266" i="20" s="1"/>
  <c r="J379" i="7"/>
  <c r="L266" i="20" s="1"/>
  <c r="K378" i="7"/>
  <c r="M265" i="20" s="1"/>
  <c r="J378" i="7"/>
  <c r="L265" i="20" s="1"/>
  <c r="K377" i="7"/>
  <c r="M264" i="20" s="1"/>
  <c r="J377" i="7"/>
  <c r="L264" i="20" s="1"/>
  <c r="K376" i="7"/>
  <c r="M263" i="20" s="1"/>
  <c r="J376" i="7"/>
  <c r="L263" i="20" s="1"/>
  <c r="K375" i="7"/>
  <c r="M262" i="20" s="1"/>
  <c r="J375" i="7"/>
  <c r="L262" i="20" s="1"/>
  <c r="K374" i="7"/>
  <c r="M261" i="20" s="1"/>
  <c r="J374" i="7"/>
  <c r="L261" i="20" s="1"/>
  <c r="K373" i="7"/>
  <c r="M260" i="20" s="1"/>
  <c r="J373" i="7"/>
  <c r="K322" i="7"/>
  <c r="J322" i="7"/>
  <c r="K321" i="7"/>
  <c r="J321" i="7"/>
  <c r="K320" i="7"/>
  <c r="J320" i="7"/>
  <c r="K319" i="7"/>
  <c r="J319" i="7"/>
  <c r="K318" i="7"/>
  <c r="J318" i="7"/>
  <c r="K317" i="7"/>
  <c r="J317" i="7"/>
  <c r="K316" i="7"/>
  <c r="J316" i="7"/>
  <c r="K193" i="7"/>
  <c r="I266" i="20" s="1"/>
  <c r="J193" i="7"/>
  <c r="K192" i="7"/>
  <c r="I265" i="20" s="1"/>
  <c r="J192" i="7"/>
  <c r="H265" i="20" s="1"/>
  <c r="K191" i="7"/>
  <c r="I264" i="20" s="1"/>
  <c r="J191" i="7"/>
  <c r="H264" i="20" s="1"/>
  <c r="K190" i="7"/>
  <c r="I263" i="20" s="1"/>
  <c r="J190" i="7"/>
  <c r="H263" i="20" s="1"/>
  <c r="K189" i="7"/>
  <c r="I262" i="20" s="1"/>
  <c r="J189" i="7"/>
  <c r="H262" i="20" s="1"/>
  <c r="K188" i="7"/>
  <c r="I261" i="20" s="1"/>
  <c r="J188" i="7"/>
  <c r="H261" i="20" s="1"/>
  <c r="K187" i="7"/>
  <c r="I260" i="20" s="1"/>
  <c r="J187" i="7"/>
  <c r="H260" i="20" s="1"/>
  <c r="K80" i="7"/>
  <c r="J80" i="7"/>
  <c r="K79" i="7"/>
  <c r="G265" i="20" s="1"/>
  <c r="J79" i="7"/>
  <c r="F265" i="20" s="1"/>
  <c r="K78" i="7"/>
  <c r="G264" i="20" s="1"/>
  <c r="J78" i="7"/>
  <c r="F264" i="20" s="1"/>
  <c r="K77" i="7"/>
  <c r="G263" i="20" s="1"/>
  <c r="J77" i="7"/>
  <c r="F263" i="20" s="1"/>
  <c r="K76" i="7"/>
  <c r="G262" i="20" s="1"/>
  <c r="J76" i="7"/>
  <c r="F262" i="20" s="1"/>
  <c r="K75" i="7"/>
  <c r="G261" i="20" s="1"/>
  <c r="J75" i="7"/>
  <c r="F261" i="20" s="1"/>
  <c r="K74" i="7"/>
  <c r="G260" i="20" s="1"/>
  <c r="J74" i="7"/>
  <c r="N81" i="6"/>
  <c r="N82" i="6" s="1"/>
  <c r="M81" i="6"/>
  <c r="M82" i="6" s="1"/>
  <c r="N80" i="6"/>
  <c r="M80" i="6"/>
  <c r="N79" i="6"/>
  <c r="N86" i="6" s="1"/>
  <c r="M79" i="6"/>
  <c r="M86" i="6" s="1"/>
  <c r="N78" i="6"/>
  <c r="N84" i="6" s="1"/>
  <c r="M78" i="6"/>
  <c r="M84" i="6" s="1"/>
  <c r="N77" i="6"/>
  <c r="N83" i="6" s="1"/>
  <c r="M77" i="6"/>
  <c r="M83" i="6" s="1"/>
  <c r="N76" i="6"/>
  <c r="M76" i="6"/>
  <c r="H28" i="8" l="1"/>
  <c r="K29" i="8"/>
  <c r="K43" i="8" s="1"/>
  <c r="H29" i="8"/>
  <c r="F267" i="20" s="1"/>
  <c r="F440" i="20" s="1"/>
  <c r="F492" i="20" s="1"/>
  <c r="G267" i="20"/>
  <c r="G440" i="20" s="1"/>
  <c r="G492" i="20" s="1"/>
  <c r="H57" i="8"/>
  <c r="K58" i="8"/>
  <c r="F266" i="20"/>
  <c r="H58" i="8"/>
  <c r="H267" i="20" s="1"/>
  <c r="I267" i="20"/>
  <c r="G266" i="20"/>
  <c r="L322" i="7"/>
  <c r="M322" i="7"/>
  <c r="J261" i="20"/>
  <c r="K264" i="20"/>
  <c r="K261" i="20"/>
  <c r="K263" i="20"/>
  <c r="J265" i="20"/>
  <c r="L379" i="7"/>
  <c r="L260" i="20"/>
  <c r="L80" i="7"/>
  <c r="F260" i="20"/>
  <c r="J260" i="20"/>
  <c r="J262" i="20"/>
  <c r="K265" i="20"/>
  <c r="M193" i="7"/>
  <c r="J263" i="20"/>
  <c r="K266" i="20"/>
  <c r="K260" i="20"/>
  <c r="K262" i="20"/>
  <c r="J264" i="20"/>
  <c r="J266" i="20"/>
  <c r="M80" i="7"/>
  <c r="M379" i="7"/>
  <c r="L193" i="7"/>
  <c r="H249" i="20"/>
  <c r="N85" i="6"/>
  <c r="P86" i="6" s="1"/>
  <c r="M85" i="6"/>
  <c r="O86" i="6" s="1"/>
  <c r="N186" i="6"/>
  <c r="N185" i="6"/>
  <c r="N192" i="6"/>
  <c r="N198" i="6" s="1"/>
  <c r="N191" i="6"/>
  <c r="N195" i="6"/>
  <c r="N201" i="6" s="1"/>
  <c r="M195" i="6"/>
  <c r="M201" i="6" s="1"/>
  <c r="N194" i="6"/>
  <c r="N200" i="6" s="1"/>
  <c r="M194" i="6"/>
  <c r="M200" i="6" s="1"/>
  <c r="N193" i="6"/>
  <c r="N199" i="6" s="1"/>
  <c r="M193" i="6"/>
  <c r="M199" i="6" s="1"/>
  <c r="M192" i="6"/>
  <c r="M198" i="6" s="1"/>
  <c r="M191" i="6"/>
  <c r="N190" i="6"/>
  <c r="M190" i="6"/>
  <c r="N189" i="6"/>
  <c r="M189" i="6"/>
  <c r="N188" i="6"/>
  <c r="M188" i="6"/>
  <c r="N187" i="6"/>
  <c r="M187" i="6"/>
  <c r="M186" i="6"/>
  <c r="M185" i="6"/>
  <c r="J58" i="8" l="1"/>
  <c r="J29" i="8"/>
  <c r="H266" i="20"/>
  <c r="I249" i="20"/>
  <c r="N184" i="6"/>
  <c r="N196" i="6" s="1"/>
  <c r="M184" i="6"/>
  <c r="M196" i="6" s="1"/>
  <c r="N183" i="6"/>
  <c r="M183" i="6"/>
  <c r="N182" i="6"/>
  <c r="M182" i="6"/>
  <c r="H28" i="5"/>
  <c r="J30" i="5" s="1"/>
  <c r="R84" i="4"/>
  <c r="Q84" i="4"/>
  <c r="R324" i="4"/>
  <c r="Q324" i="4"/>
  <c r="Q188" i="4"/>
  <c r="R187" i="4"/>
  <c r="Q187" i="4"/>
  <c r="R323" i="4"/>
  <c r="Q323" i="4"/>
  <c r="R291" i="4"/>
  <c r="Q291" i="4"/>
  <c r="R290" i="4"/>
  <c r="Q290" i="4"/>
  <c r="R289" i="4"/>
  <c r="Q289" i="4"/>
  <c r="Q65" i="3"/>
  <c r="I52" i="2"/>
  <c r="P52" i="2" s="1"/>
  <c r="I51" i="2"/>
  <c r="P51" i="2" s="1"/>
  <c r="H44" i="1"/>
  <c r="P44" i="1" s="1"/>
  <c r="R186" i="4"/>
  <c r="Q186" i="4"/>
  <c r="Q83" i="4"/>
  <c r="R82" i="4"/>
  <c r="Q82" i="4"/>
  <c r="R81" i="4"/>
  <c r="Q81" i="4"/>
  <c r="R79" i="4"/>
  <c r="Q79" i="4"/>
  <c r="R78" i="4"/>
  <c r="Q78" i="4"/>
  <c r="R77" i="4"/>
  <c r="Q77" i="4"/>
  <c r="R76" i="4"/>
  <c r="Q76" i="4"/>
  <c r="R75" i="4"/>
  <c r="Q75" i="4"/>
  <c r="T66" i="3"/>
  <c r="T65" i="3"/>
  <c r="O52" i="2"/>
  <c r="O51" i="2"/>
  <c r="O45" i="1"/>
  <c r="O44" i="1"/>
  <c r="R74" i="4"/>
  <c r="Q74" i="4"/>
  <c r="R73" i="4"/>
  <c r="Q73" i="4"/>
  <c r="R191" i="4" l="1"/>
  <c r="Q191" i="4"/>
  <c r="Q293" i="4"/>
  <c r="R293" i="4"/>
  <c r="K248" i="20" s="1"/>
  <c r="T69" i="3"/>
  <c r="F249" i="20" s="1"/>
  <c r="Q89" i="4"/>
  <c r="R89" i="4"/>
  <c r="O46" i="1"/>
  <c r="F250" i="20"/>
  <c r="N197" i="6"/>
  <c r="P201" i="6" s="1"/>
  <c r="M197" i="6"/>
  <c r="O53" i="2"/>
  <c r="H248" i="20"/>
  <c r="R326" i="4"/>
  <c r="J248" i="20"/>
  <c r="U65" i="3"/>
  <c r="Q326" i="4"/>
  <c r="L248" i="20" s="1"/>
  <c r="I248" i="20"/>
  <c r="Q66" i="3"/>
  <c r="P53" i="2"/>
  <c r="H45" i="1"/>
  <c r="P45" i="1" s="1"/>
  <c r="P46" i="1" s="1"/>
  <c r="F248" i="20" l="1"/>
  <c r="G248" i="20"/>
  <c r="U66" i="3"/>
  <c r="O161" i="10"/>
  <c r="K247" i="20" s="1"/>
  <c r="N161" i="10"/>
  <c r="J247" i="20" s="1"/>
  <c r="O160" i="10"/>
  <c r="K246" i="20" s="1"/>
  <c r="N160" i="10"/>
  <c r="J246" i="20" s="1"/>
  <c r="I98" i="8"/>
  <c r="I97" i="8"/>
  <c r="H97" i="8" s="1"/>
  <c r="K314" i="7"/>
  <c r="J314" i="7"/>
  <c r="K313" i="7"/>
  <c r="K243" i="20" s="1"/>
  <c r="J313" i="7"/>
  <c r="J243" i="20" s="1"/>
  <c r="K312" i="7"/>
  <c r="K242" i="20" s="1"/>
  <c r="J312" i="7"/>
  <c r="J242" i="20" s="1"/>
  <c r="K311" i="7"/>
  <c r="K241" i="20" s="1"/>
  <c r="J311" i="7"/>
  <c r="J241" i="20" s="1"/>
  <c r="K310" i="7"/>
  <c r="K240" i="20" s="1"/>
  <c r="J310" i="7"/>
  <c r="J240" i="20" s="1"/>
  <c r="K309" i="7"/>
  <c r="K239" i="20" s="1"/>
  <c r="J309" i="7"/>
  <c r="J239" i="20" s="1"/>
  <c r="K308" i="7"/>
  <c r="J308" i="7"/>
  <c r="J238" i="20" s="1"/>
  <c r="Y205" i="3"/>
  <c r="Y204" i="3"/>
  <c r="Q204" i="3" s="1"/>
  <c r="T205" i="3"/>
  <c r="T204" i="3"/>
  <c r="N386" i="6"/>
  <c r="N387" i="6" s="1"/>
  <c r="M386" i="6"/>
  <c r="N385" i="6"/>
  <c r="N389" i="6" s="1"/>
  <c r="M385" i="6"/>
  <c r="M389" i="6" s="1"/>
  <c r="M384" i="6"/>
  <c r="M390" i="6" s="1"/>
  <c r="M383" i="6"/>
  <c r="M382" i="6"/>
  <c r="M388" i="6" s="1"/>
  <c r="R285" i="4"/>
  <c r="Q285" i="4"/>
  <c r="R284" i="4"/>
  <c r="Q284" i="4"/>
  <c r="R283" i="4"/>
  <c r="Q283" i="4"/>
  <c r="R282" i="4"/>
  <c r="Q282" i="4"/>
  <c r="R281" i="4"/>
  <c r="Q281" i="4"/>
  <c r="R280" i="4"/>
  <c r="Q280" i="4"/>
  <c r="K244" i="20" l="1"/>
  <c r="J244" i="20"/>
  <c r="H98" i="8"/>
  <c r="J245" i="20" s="1"/>
  <c r="K245" i="20"/>
  <c r="T208" i="3"/>
  <c r="J232" i="20" s="1"/>
  <c r="U69" i="3"/>
  <c r="G249" i="20" s="1"/>
  <c r="Q287" i="4"/>
  <c r="J231" i="20" s="1"/>
  <c r="R287" i="4"/>
  <c r="K231" i="20" s="1"/>
  <c r="K238" i="20"/>
  <c r="M314" i="7"/>
  <c r="L314" i="7"/>
  <c r="M387" i="6"/>
  <c r="Q205" i="3"/>
  <c r="U204" i="3"/>
  <c r="U205" i="3" l="1"/>
  <c r="U208" i="3" l="1"/>
  <c r="K232" i="20" s="1"/>
  <c r="O112" i="10"/>
  <c r="I230" i="20" s="1"/>
  <c r="N112" i="10"/>
  <c r="H230" i="20" s="1"/>
  <c r="O111" i="10"/>
  <c r="I229" i="20" s="1"/>
  <c r="N111" i="10"/>
  <c r="H229" i="20" s="1"/>
  <c r="I55" i="8"/>
  <c r="I54" i="8"/>
  <c r="K185" i="7"/>
  <c r="J185" i="7"/>
  <c r="K184" i="7"/>
  <c r="I226" i="20" s="1"/>
  <c r="J184" i="7"/>
  <c r="H226" i="20" s="1"/>
  <c r="K183" i="7"/>
  <c r="I225" i="20" s="1"/>
  <c r="J183" i="7"/>
  <c r="H225" i="20" s="1"/>
  <c r="K182" i="7"/>
  <c r="I224" i="20" s="1"/>
  <c r="J182" i="7"/>
  <c r="H224" i="20" s="1"/>
  <c r="K181" i="7"/>
  <c r="I223" i="20" s="1"/>
  <c r="J181" i="7"/>
  <c r="H223" i="20" s="1"/>
  <c r="K180" i="7"/>
  <c r="I222" i="20" s="1"/>
  <c r="J180" i="7"/>
  <c r="H222" i="20" s="1"/>
  <c r="K179" i="7"/>
  <c r="I221" i="20" s="1"/>
  <c r="J179" i="7"/>
  <c r="H221" i="20" s="1"/>
  <c r="I33" i="5"/>
  <c r="H54" i="8" l="1"/>
  <c r="K55" i="8"/>
  <c r="H55" i="8"/>
  <c r="H228" i="20" s="1"/>
  <c r="I228" i="20"/>
  <c r="H227" i="20"/>
  <c r="I227" i="20"/>
  <c r="H33" i="5"/>
  <c r="I219" i="20"/>
  <c r="K33" i="5"/>
  <c r="M185" i="7"/>
  <c r="L185" i="7"/>
  <c r="R182" i="4"/>
  <c r="Q182" i="4"/>
  <c r="R180" i="4"/>
  <c r="Q180" i="4"/>
  <c r="Q179" i="4"/>
  <c r="Q134" i="3"/>
  <c r="T138" i="3"/>
  <c r="Q138" i="3"/>
  <c r="T137" i="3"/>
  <c r="T134" i="3"/>
  <c r="T133" i="3"/>
  <c r="I93" i="2"/>
  <c r="P93" i="2" s="1"/>
  <c r="I92" i="2"/>
  <c r="P92" i="2" s="1"/>
  <c r="O93" i="2"/>
  <c r="O92" i="2"/>
  <c r="H66" i="1"/>
  <c r="P66" i="1" s="1"/>
  <c r="H65" i="1"/>
  <c r="P65" i="1" s="1"/>
  <c r="O66" i="1"/>
  <c r="O65" i="1"/>
  <c r="Q176" i="4"/>
  <c r="R175" i="4"/>
  <c r="Q175" i="4"/>
  <c r="J55" i="8" l="1"/>
  <c r="Q184" i="4"/>
  <c r="H219" i="20"/>
  <c r="J33" i="5"/>
  <c r="T139" i="3"/>
  <c r="H218" i="20" s="1"/>
  <c r="O94" i="2"/>
  <c r="O67" i="1"/>
  <c r="R179" i="4"/>
  <c r="R184" i="4" s="1"/>
  <c r="U138" i="3"/>
  <c r="U134" i="3"/>
  <c r="Q133" i="3"/>
  <c r="U133" i="3" s="1"/>
  <c r="Q137" i="3"/>
  <c r="P94" i="2"/>
  <c r="P67" i="1"/>
  <c r="H217" i="20" l="1"/>
  <c r="I217" i="20"/>
  <c r="U137" i="3"/>
  <c r="U139" i="3" s="1"/>
  <c r="I218" i="20" s="1"/>
  <c r="O158" i="10" l="1"/>
  <c r="K216" i="20" s="1"/>
  <c r="N158" i="10"/>
  <c r="J216" i="20" s="1"/>
  <c r="O157" i="10"/>
  <c r="K215" i="20" s="1"/>
  <c r="N157" i="10"/>
  <c r="J215" i="20" s="1"/>
  <c r="O109" i="10"/>
  <c r="I216" i="20" s="1"/>
  <c r="N109" i="10"/>
  <c r="H216" i="20" s="1"/>
  <c r="O108" i="10"/>
  <c r="I215" i="20" s="1"/>
  <c r="N108" i="10"/>
  <c r="H215" i="20" s="1"/>
  <c r="O63" i="10"/>
  <c r="G216" i="20" s="1"/>
  <c r="N63" i="10"/>
  <c r="F216" i="20" s="1"/>
  <c r="O62" i="10"/>
  <c r="G215" i="20" s="1"/>
  <c r="N62" i="10"/>
  <c r="F215" i="20" s="1"/>
  <c r="I95" i="8"/>
  <c r="I94" i="8"/>
  <c r="H94" i="8" s="1"/>
  <c r="I52" i="8"/>
  <c r="I51" i="8"/>
  <c r="K306" i="7"/>
  <c r="J306" i="7"/>
  <c r="K305" i="7"/>
  <c r="K212" i="20" s="1"/>
  <c r="J305" i="7"/>
  <c r="J212" i="20" s="1"/>
  <c r="K304" i="7"/>
  <c r="K211" i="20" s="1"/>
  <c r="J304" i="7"/>
  <c r="J211" i="20" s="1"/>
  <c r="K303" i="7"/>
  <c r="K210" i="20" s="1"/>
  <c r="J303" i="7"/>
  <c r="J210" i="20" s="1"/>
  <c r="K302" i="7"/>
  <c r="K209" i="20" s="1"/>
  <c r="J302" i="7"/>
  <c r="J209" i="20" s="1"/>
  <c r="K301" i="7"/>
  <c r="K208" i="20" s="1"/>
  <c r="J301" i="7"/>
  <c r="J208" i="20" s="1"/>
  <c r="K300" i="7"/>
  <c r="J300" i="7"/>
  <c r="K177" i="7"/>
  <c r="J177" i="7"/>
  <c r="K176" i="7"/>
  <c r="I212" i="20" s="1"/>
  <c r="J176" i="7"/>
  <c r="H212" i="20" s="1"/>
  <c r="K175" i="7"/>
  <c r="I211" i="20" s="1"/>
  <c r="J175" i="7"/>
  <c r="H211" i="20" s="1"/>
  <c r="K174" i="7"/>
  <c r="I210" i="20" s="1"/>
  <c r="J174" i="7"/>
  <c r="H210" i="20" s="1"/>
  <c r="K173" i="7"/>
  <c r="I209" i="20" s="1"/>
  <c r="K172" i="7"/>
  <c r="I208" i="20" s="1"/>
  <c r="J172" i="7"/>
  <c r="H208" i="20" s="1"/>
  <c r="K171" i="7"/>
  <c r="I207" i="20" s="1"/>
  <c r="J213" i="20" l="1"/>
  <c r="K213" i="20"/>
  <c r="I213" i="20"/>
  <c r="H51" i="8"/>
  <c r="H213" i="20" s="1"/>
  <c r="K52" i="8"/>
  <c r="H52" i="8"/>
  <c r="H214" i="20" s="1"/>
  <c r="I214" i="20"/>
  <c r="H95" i="8"/>
  <c r="J214" i="20" s="1"/>
  <c r="K214" i="20"/>
  <c r="M306" i="7"/>
  <c r="J207" i="20"/>
  <c r="L306" i="7"/>
  <c r="K207" i="20"/>
  <c r="L177" i="7"/>
  <c r="M177" i="7"/>
  <c r="N377" i="6"/>
  <c r="N378" i="6" s="1"/>
  <c r="M377" i="6"/>
  <c r="M378" i="6" s="1"/>
  <c r="N376" i="6"/>
  <c r="M376" i="6"/>
  <c r="N375" i="6"/>
  <c r="M375" i="6"/>
  <c r="N374" i="6"/>
  <c r="M374" i="6"/>
  <c r="M173" i="6"/>
  <c r="M180" i="6" s="1"/>
  <c r="M172" i="6"/>
  <c r="M171" i="6"/>
  <c r="M177" i="6" s="1"/>
  <c r="N170" i="6"/>
  <c r="M170" i="6"/>
  <c r="N169" i="6"/>
  <c r="N178" i="6" s="1"/>
  <c r="M169" i="6"/>
  <c r="M178" i="6" s="1"/>
  <c r="N168" i="6"/>
  <c r="M168" i="6"/>
  <c r="N167" i="6"/>
  <c r="M167" i="6"/>
  <c r="N166" i="6"/>
  <c r="M166" i="6"/>
  <c r="N165" i="6"/>
  <c r="M165" i="6"/>
  <c r="N164" i="6"/>
  <c r="M164" i="6"/>
  <c r="N163" i="6"/>
  <c r="N176" i="6" s="1"/>
  <c r="M163" i="6"/>
  <c r="M176" i="6" s="1"/>
  <c r="N162" i="6"/>
  <c r="M162" i="6"/>
  <c r="N161" i="6"/>
  <c r="M161" i="6"/>
  <c r="N160" i="6"/>
  <c r="M160" i="6"/>
  <c r="R173" i="4"/>
  <c r="Q173" i="4"/>
  <c r="R69" i="4"/>
  <c r="Q69" i="4"/>
  <c r="R68" i="4"/>
  <c r="Q68" i="4"/>
  <c r="R276" i="4"/>
  <c r="Q276" i="4"/>
  <c r="R275" i="4"/>
  <c r="Q275" i="4"/>
  <c r="R274" i="4"/>
  <c r="Q274" i="4"/>
  <c r="J52" i="8" l="1"/>
  <c r="M175" i="6"/>
  <c r="N174" i="6"/>
  <c r="M179" i="6"/>
  <c r="M174" i="6"/>
  <c r="N175" i="6"/>
  <c r="N179" i="6"/>
  <c r="R278" i="4"/>
  <c r="K197" i="20" s="1"/>
  <c r="N380" i="6"/>
  <c r="M380" i="6"/>
  <c r="M379" i="6"/>
  <c r="N379" i="6"/>
  <c r="Q71" i="4"/>
  <c r="Q278" i="4"/>
  <c r="J197" i="20" s="1"/>
  <c r="R71" i="4"/>
  <c r="P180" i="6" l="1"/>
  <c r="O155" i="10"/>
  <c r="K196" i="20" s="1"/>
  <c r="N155" i="10"/>
  <c r="J196" i="20" s="1"/>
  <c r="O154" i="10"/>
  <c r="K195" i="20" s="1"/>
  <c r="N154" i="10"/>
  <c r="J195" i="20" s="1"/>
  <c r="I92" i="8"/>
  <c r="I91" i="8"/>
  <c r="H91" i="8" s="1"/>
  <c r="K298" i="7"/>
  <c r="J298" i="7"/>
  <c r="K297" i="7"/>
  <c r="K192" i="20" s="1"/>
  <c r="J297" i="7"/>
  <c r="J192" i="20" s="1"/>
  <c r="K296" i="7"/>
  <c r="K191" i="20" s="1"/>
  <c r="J296" i="7"/>
  <c r="J191" i="20" s="1"/>
  <c r="K295" i="7"/>
  <c r="K190" i="20" s="1"/>
  <c r="J295" i="7"/>
  <c r="J190" i="20" s="1"/>
  <c r="K294" i="7"/>
  <c r="K189" i="20" s="1"/>
  <c r="J294" i="7"/>
  <c r="J189" i="20" s="1"/>
  <c r="K293" i="7"/>
  <c r="K188" i="20" s="1"/>
  <c r="J293" i="7"/>
  <c r="J188" i="20" s="1"/>
  <c r="K292" i="7"/>
  <c r="J292" i="7"/>
  <c r="Q197" i="3"/>
  <c r="Q196" i="3"/>
  <c r="T197" i="3"/>
  <c r="T196" i="3"/>
  <c r="I36" i="5"/>
  <c r="K38" i="5" s="1"/>
  <c r="R270" i="4"/>
  <c r="Q270" i="4"/>
  <c r="R265" i="4"/>
  <c r="R268" i="4"/>
  <c r="Q268" i="4"/>
  <c r="R267" i="4"/>
  <c r="Q267" i="4"/>
  <c r="R266" i="4"/>
  <c r="Q266" i="4"/>
  <c r="Q265" i="4"/>
  <c r="Q193" i="3"/>
  <c r="T193" i="3"/>
  <c r="T192" i="3"/>
  <c r="I110" i="2"/>
  <c r="P110" i="2" s="1"/>
  <c r="I109" i="2"/>
  <c r="P109" i="2" s="1"/>
  <c r="O110" i="2"/>
  <c r="O109" i="2"/>
  <c r="H71" i="1"/>
  <c r="P71" i="1" s="1"/>
  <c r="O71" i="1"/>
  <c r="O70" i="1"/>
  <c r="R264" i="4"/>
  <c r="Q264" i="4"/>
  <c r="R263" i="4"/>
  <c r="Q263" i="4"/>
  <c r="H92" i="8" l="1"/>
  <c r="J194" i="20" s="1"/>
  <c r="K194" i="20"/>
  <c r="J193" i="20"/>
  <c r="K193" i="20"/>
  <c r="Q272" i="4"/>
  <c r="R272" i="4"/>
  <c r="H36" i="5"/>
  <c r="K185" i="20"/>
  <c r="J187" i="20"/>
  <c r="L298" i="7"/>
  <c r="M298" i="7"/>
  <c r="K187" i="20"/>
  <c r="T198" i="3"/>
  <c r="J184" i="20" s="1"/>
  <c r="O72" i="1"/>
  <c r="O111" i="2"/>
  <c r="U196" i="3"/>
  <c r="U197" i="3"/>
  <c r="U193" i="3"/>
  <c r="Q192" i="3"/>
  <c r="U192" i="3" s="1"/>
  <c r="P111" i="2"/>
  <c r="R119" i="2" s="1"/>
  <c r="H70" i="1"/>
  <c r="P70" i="1" s="1"/>
  <c r="P72" i="1" s="1"/>
  <c r="R76" i="1" s="1"/>
  <c r="J185" i="20" l="1"/>
  <c r="J38" i="5"/>
  <c r="J183" i="20"/>
  <c r="K183" i="20"/>
  <c r="U198" i="3"/>
  <c r="K184" i="20" s="1"/>
  <c r="O106" i="10" l="1"/>
  <c r="I182" i="20" s="1"/>
  <c r="N106" i="10"/>
  <c r="H182" i="20" s="1"/>
  <c r="O105" i="10"/>
  <c r="I181" i="20" s="1"/>
  <c r="N105" i="10"/>
  <c r="H181" i="20" s="1"/>
  <c r="O60" i="10"/>
  <c r="G182" i="20" s="1"/>
  <c r="N60" i="10"/>
  <c r="F182" i="20" s="1"/>
  <c r="O59" i="10"/>
  <c r="G181" i="20" s="1"/>
  <c r="N59" i="10"/>
  <c r="F181" i="20" s="1"/>
  <c r="I49" i="8"/>
  <c r="I48" i="8"/>
  <c r="K169" i="7"/>
  <c r="J169" i="7"/>
  <c r="K168" i="7"/>
  <c r="I178" i="20" s="1"/>
  <c r="J168" i="7"/>
  <c r="H178" i="20" s="1"/>
  <c r="K167" i="7"/>
  <c r="I177" i="20" s="1"/>
  <c r="J167" i="7"/>
  <c r="H177" i="20" s="1"/>
  <c r="K166" i="7"/>
  <c r="I176" i="20" s="1"/>
  <c r="J166" i="7"/>
  <c r="H176" i="20" s="1"/>
  <c r="K165" i="7"/>
  <c r="I175" i="20" s="1"/>
  <c r="J165" i="7"/>
  <c r="H175" i="20" s="1"/>
  <c r="K164" i="7"/>
  <c r="I174" i="20" s="1"/>
  <c r="J164" i="7"/>
  <c r="H174" i="20" s="1"/>
  <c r="K163" i="7"/>
  <c r="I173" i="20" s="1"/>
  <c r="J163" i="7"/>
  <c r="H173" i="20" s="1"/>
  <c r="K72" i="7"/>
  <c r="G179" i="20" s="1"/>
  <c r="J72" i="7"/>
  <c r="F179" i="20" s="1"/>
  <c r="K71" i="7"/>
  <c r="G178" i="20" s="1"/>
  <c r="J71" i="7"/>
  <c r="F178" i="20" s="1"/>
  <c r="K70" i="7"/>
  <c r="G177" i="20" s="1"/>
  <c r="J70" i="7"/>
  <c r="F177" i="20" s="1"/>
  <c r="K69" i="7"/>
  <c r="G176" i="20" s="1"/>
  <c r="J69" i="7"/>
  <c r="F176" i="20" s="1"/>
  <c r="K68" i="7"/>
  <c r="G175" i="20" s="1"/>
  <c r="J68" i="7"/>
  <c r="F175" i="20" s="1"/>
  <c r="K67" i="7"/>
  <c r="G174" i="20" s="1"/>
  <c r="J67" i="7"/>
  <c r="F174" i="20" s="1"/>
  <c r="K66" i="7"/>
  <c r="J66" i="7"/>
  <c r="F173" i="20" s="1"/>
  <c r="Q124" i="3"/>
  <c r="T124" i="3"/>
  <c r="T123" i="3"/>
  <c r="I179" i="20" l="1"/>
  <c r="H48" i="8"/>
  <c r="K49" i="8"/>
  <c r="H49" i="8"/>
  <c r="H180" i="20" s="1"/>
  <c r="I180" i="20"/>
  <c r="T127" i="3"/>
  <c r="H164" i="20" s="1"/>
  <c r="M72" i="7"/>
  <c r="G173" i="20"/>
  <c r="L72" i="7"/>
  <c r="M169" i="7"/>
  <c r="L169" i="7"/>
  <c r="U124" i="3"/>
  <c r="Q123" i="3"/>
  <c r="U123" i="3" s="1"/>
  <c r="N142" i="6"/>
  <c r="M142" i="6"/>
  <c r="M151" i="6"/>
  <c r="M158" i="6" s="1"/>
  <c r="M150" i="6"/>
  <c r="N155" i="6"/>
  <c r="M149" i="6"/>
  <c r="M155" i="6" s="1"/>
  <c r="N148" i="6"/>
  <c r="M148" i="6"/>
  <c r="N147" i="6"/>
  <c r="M147" i="6"/>
  <c r="N146" i="6"/>
  <c r="M146" i="6"/>
  <c r="N145" i="6"/>
  <c r="M145" i="6"/>
  <c r="N144" i="6"/>
  <c r="M144" i="6"/>
  <c r="N143" i="6"/>
  <c r="M143" i="6"/>
  <c r="N141" i="6"/>
  <c r="M141" i="6"/>
  <c r="N140" i="6"/>
  <c r="M140" i="6"/>
  <c r="N139" i="6"/>
  <c r="N154" i="6" s="1"/>
  <c r="M139" i="6"/>
  <c r="M154" i="6" s="1"/>
  <c r="N138" i="6"/>
  <c r="M138" i="6"/>
  <c r="N137" i="6"/>
  <c r="M137" i="6"/>
  <c r="N136" i="6"/>
  <c r="M136" i="6"/>
  <c r="N135" i="6"/>
  <c r="M135" i="6"/>
  <c r="R63" i="4"/>
  <c r="R57" i="4"/>
  <c r="Q63" i="4"/>
  <c r="R62" i="4"/>
  <c r="Q62" i="4"/>
  <c r="R60" i="4"/>
  <c r="Q60" i="4"/>
  <c r="R59" i="4"/>
  <c r="Q59" i="4"/>
  <c r="Q58" i="4"/>
  <c r="R58" i="4"/>
  <c r="Q57" i="4"/>
  <c r="J49" i="8" l="1"/>
  <c r="H179" i="20"/>
  <c r="U127" i="3"/>
  <c r="I164" i="20" s="1"/>
  <c r="N156" i="6"/>
  <c r="M156" i="6"/>
  <c r="N157" i="6"/>
  <c r="N153" i="6"/>
  <c r="M157" i="6"/>
  <c r="M153" i="6"/>
  <c r="M152" i="6"/>
  <c r="N152" i="6"/>
  <c r="P158" i="6" s="1"/>
  <c r="T60" i="3"/>
  <c r="T59" i="3"/>
  <c r="Q59" i="3"/>
  <c r="I48" i="2"/>
  <c r="P48" i="2" s="1"/>
  <c r="O48" i="2"/>
  <c r="O47" i="2"/>
  <c r="H41" i="1"/>
  <c r="P41" i="1" s="1"/>
  <c r="H40" i="1"/>
  <c r="P40" i="1" s="1"/>
  <c r="O41" i="1"/>
  <c r="O40" i="1"/>
  <c r="R169" i="4"/>
  <c r="Q169" i="4"/>
  <c r="R168" i="4"/>
  <c r="Q168" i="4"/>
  <c r="R56" i="4"/>
  <c r="Q56" i="4"/>
  <c r="R55" i="4"/>
  <c r="R66" i="4" s="1"/>
  <c r="Q55" i="4"/>
  <c r="Q66" i="4" s="1"/>
  <c r="R171" i="4" l="1"/>
  <c r="Q171" i="4"/>
  <c r="T63" i="3"/>
  <c r="F164" i="20" s="1"/>
  <c r="O49" i="2"/>
  <c r="O42" i="1"/>
  <c r="H163" i="20"/>
  <c r="I163" i="20"/>
  <c r="U59" i="3"/>
  <c r="Q60" i="3"/>
  <c r="U60" i="3" s="1"/>
  <c r="I47" i="2"/>
  <c r="P47" i="2" s="1"/>
  <c r="P49" i="2" s="1"/>
  <c r="P42" i="1"/>
  <c r="G163" i="20" l="1"/>
  <c r="F163" i="20"/>
  <c r="U63" i="3"/>
  <c r="G164" i="20" s="1"/>
  <c r="O152" i="10"/>
  <c r="K162" i="20" s="1"/>
  <c r="N152" i="10"/>
  <c r="J162" i="20" s="1"/>
  <c r="O151" i="10"/>
  <c r="K161" i="20" s="1"/>
  <c r="N151" i="10"/>
  <c r="J161" i="20" s="1"/>
  <c r="I89" i="8"/>
  <c r="I88" i="8"/>
  <c r="H88" i="8" s="1"/>
  <c r="K290" i="7"/>
  <c r="J290" i="7"/>
  <c r="K289" i="7"/>
  <c r="K158" i="20" s="1"/>
  <c r="J289" i="7"/>
  <c r="J158" i="20" s="1"/>
  <c r="K288" i="7"/>
  <c r="K157" i="20" s="1"/>
  <c r="J288" i="7"/>
  <c r="J157" i="20" s="1"/>
  <c r="K287" i="7"/>
  <c r="K156" i="20" s="1"/>
  <c r="J287" i="7"/>
  <c r="J156" i="20" s="1"/>
  <c r="K155" i="20"/>
  <c r="J286" i="7"/>
  <c r="J155" i="20" s="1"/>
  <c r="K285" i="7"/>
  <c r="K154" i="20" s="1"/>
  <c r="J285" i="7"/>
  <c r="J154" i="20" s="1"/>
  <c r="K284" i="7"/>
  <c r="J284" i="7"/>
  <c r="T189" i="3"/>
  <c r="T188" i="3"/>
  <c r="Q259" i="4"/>
  <c r="R258" i="4"/>
  <c r="Q258" i="4"/>
  <c r="R257" i="4"/>
  <c r="Q257" i="4"/>
  <c r="K159" i="20" l="1"/>
  <c r="J159" i="20"/>
  <c r="H89" i="8"/>
  <c r="J160" i="20" s="1"/>
  <c r="K160" i="20"/>
  <c r="L290" i="7"/>
  <c r="M290" i="7"/>
  <c r="J153" i="20"/>
  <c r="K153" i="20"/>
  <c r="T190" i="3"/>
  <c r="J152" i="20" s="1"/>
  <c r="Q261" i="4"/>
  <c r="J151" i="20" s="1"/>
  <c r="R261" i="4"/>
  <c r="K151" i="20" s="1"/>
  <c r="U189" i="3"/>
  <c r="U188" i="3"/>
  <c r="U190" i="3" l="1"/>
  <c r="K152" i="20" s="1"/>
  <c r="O149" i="10" l="1"/>
  <c r="K150" i="20" s="1"/>
  <c r="N149" i="10"/>
  <c r="J150" i="20" s="1"/>
  <c r="O148" i="10"/>
  <c r="K149" i="20" s="1"/>
  <c r="N148" i="10"/>
  <c r="J149" i="20" s="1"/>
  <c r="O103" i="10" l="1"/>
  <c r="I150" i="20" s="1"/>
  <c r="N103" i="10"/>
  <c r="H150" i="20" s="1"/>
  <c r="O102" i="10"/>
  <c r="I149" i="20" s="1"/>
  <c r="N102" i="10"/>
  <c r="H149" i="20" s="1"/>
  <c r="I86" i="8" l="1"/>
  <c r="I85" i="8"/>
  <c r="H85" i="8" s="1"/>
  <c r="K282" i="7"/>
  <c r="J282" i="7"/>
  <c r="K281" i="7"/>
  <c r="K146" i="20" s="1"/>
  <c r="J281" i="7"/>
  <c r="J146" i="20" s="1"/>
  <c r="K280" i="7"/>
  <c r="K145" i="20" s="1"/>
  <c r="J280" i="7"/>
  <c r="J145" i="20" s="1"/>
  <c r="K279" i="7"/>
  <c r="K144" i="20" s="1"/>
  <c r="J279" i="7"/>
  <c r="J144" i="20" s="1"/>
  <c r="K278" i="7"/>
  <c r="K143" i="20" s="1"/>
  <c r="J278" i="7"/>
  <c r="J143" i="20" s="1"/>
  <c r="K277" i="7"/>
  <c r="K142" i="20" s="1"/>
  <c r="J277" i="7"/>
  <c r="J142" i="20" s="1"/>
  <c r="K276" i="7"/>
  <c r="J276" i="7"/>
  <c r="K161" i="7"/>
  <c r="I147" i="20" s="1"/>
  <c r="J161" i="7"/>
  <c r="H147" i="20" s="1"/>
  <c r="K160" i="7"/>
  <c r="I146" i="20" s="1"/>
  <c r="J160" i="7"/>
  <c r="H146" i="20" s="1"/>
  <c r="K159" i="7"/>
  <c r="I145" i="20" s="1"/>
  <c r="J159" i="7"/>
  <c r="H145" i="20" s="1"/>
  <c r="K158" i="7"/>
  <c r="I144" i="20" s="1"/>
  <c r="J158" i="7"/>
  <c r="H144" i="20" s="1"/>
  <c r="K157" i="7"/>
  <c r="I143" i="20" s="1"/>
  <c r="J157" i="7"/>
  <c r="H143" i="20" s="1"/>
  <c r="K156" i="7"/>
  <c r="I142" i="20" s="1"/>
  <c r="J156" i="7"/>
  <c r="H142" i="20" s="1"/>
  <c r="K155" i="7"/>
  <c r="I141" i="20" s="1"/>
  <c r="J155" i="7"/>
  <c r="Y120" i="3"/>
  <c r="Q120" i="3" s="1"/>
  <c r="Y119" i="3"/>
  <c r="T120" i="3"/>
  <c r="T119" i="3"/>
  <c r="N365" i="6"/>
  <c r="N372" i="6" s="1"/>
  <c r="N364" i="6"/>
  <c r="N363" i="6"/>
  <c r="N369" i="6" s="1"/>
  <c r="M365" i="6"/>
  <c r="M372" i="6" s="1"/>
  <c r="M364" i="6"/>
  <c r="M363" i="6"/>
  <c r="M369" i="6" s="1"/>
  <c r="J147" i="20" l="1"/>
  <c r="H86" i="8"/>
  <c r="J148" i="20" s="1"/>
  <c r="K148" i="20"/>
  <c r="K147" i="20"/>
  <c r="J141" i="20"/>
  <c r="L282" i="7"/>
  <c r="M282" i="7"/>
  <c r="L161" i="7"/>
  <c r="H141" i="20"/>
  <c r="K141" i="20"/>
  <c r="M161" i="7"/>
  <c r="U120" i="3"/>
  <c r="Q119" i="3"/>
  <c r="U119" i="3" s="1"/>
  <c r="T121" i="3"/>
  <c r="H132" i="20" s="1"/>
  <c r="N362" i="6"/>
  <c r="M362" i="6"/>
  <c r="N361" i="6"/>
  <c r="N370" i="6" s="1"/>
  <c r="M361" i="6"/>
  <c r="M370" i="6" s="1"/>
  <c r="N360" i="6"/>
  <c r="M360" i="6"/>
  <c r="N359" i="6"/>
  <c r="M359" i="6"/>
  <c r="N358" i="6"/>
  <c r="M358" i="6"/>
  <c r="N357" i="6"/>
  <c r="M357" i="6"/>
  <c r="N356" i="6"/>
  <c r="M356" i="6"/>
  <c r="N355" i="6"/>
  <c r="M355" i="6"/>
  <c r="N354" i="6"/>
  <c r="N368" i="6" s="1"/>
  <c r="M354" i="6"/>
  <c r="N353" i="6"/>
  <c r="M353" i="6"/>
  <c r="N352" i="6"/>
  <c r="M352" i="6"/>
  <c r="N351" i="6"/>
  <c r="M351" i="6"/>
  <c r="N350" i="6"/>
  <c r="M350" i="6"/>
  <c r="R255" i="4"/>
  <c r="Q255" i="4"/>
  <c r="R164" i="4"/>
  <c r="Q164" i="4"/>
  <c r="R163" i="4"/>
  <c r="Q163" i="4"/>
  <c r="M366" i="6" l="1"/>
  <c r="M371" i="6"/>
  <c r="Q166" i="4"/>
  <c r="H131" i="20" s="1"/>
  <c r="N366" i="6"/>
  <c r="N371" i="6"/>
  <c r="M367" i="6"/>
  <c r="N367" i="6"/>
  <c r="U121" i="3"/>
  <c r="I132" i="20" s="1"/>
  <c r="M368" i="6"/>
  <c r="R166" i="4"/>
  <c r="I131" i="20" s="1"/>
  <c r="O146" i="10" l="1"/>
  <c r="K130" i="20" s="1"/>
  <c r="N146" i="10"/>
  <c r="J130" i="20" s="1"/>
  <c r="O145" i="10"/>
  <c r="K129" i="20" s="1"/>
  <c r="N145" i="10"/>
  <c r="J129" i="20" s="1"/>
  <c r="O100" i="10"/>
  <c r="I130" i="20" s="1"/>
  <c r="N100" i="10"/>
  <c r="H130" i="20" s="1"/>
  <c r="O99" i="10"/>
  <c r="I129" i="20" s="1"/>
  <c r="N99" i="10"/>
  <c r="H129" i="20" s="1"/>
  <c r="I83" i="8"/>
  <c r="I82" i="8"/>
  <c r="H82" i="8" s="1"/>
  <c r="K274" i="7"/>
  <c r="J274" i="7"/>
  <c r="K273" i="7"/>
  <c r="K126" i="20" s="1"/>
  <c r="J273" i="7"/>
  <c r="J126" i="20" s="1"/>
  <c r="K272" i="7"/>
  <c r="K125" i="20" s="1"/>
  <c r="J272" i="7"/>
  <c r="J125" i="20" s="1"/>
  <c r="K271" i="7"/>
  <c r="K124" i="20" s="1"/>
  <c r="J271" i="7"/>
  <c r="J124" i="20" s="1"/>
  <c r="K270" i="7"/>
  <c r="K123" i="20" s="1"/>
  <c r="J270" i="7"/>
  <c r="J123" i="20" s="1"/>
  <c r="K269" i="7"/>
  <c r="K122" i="20" s="1"/>
  <c r="J269" i="7"/>
  <c r="J122" i="20" s="1"/>
  <c r="K268" i="7"/>
  <c r="J268" i="7"/>
  <c r="K149" i="7"/>
  <c r="I123" i="20" s="1"/>
  <c r="K147" i="7"/>
  <c r="I121" i="20" s="1"/>
  <c r="J152" i="7"/>
  <c r="H126" i="20" s="1"/>
  <c r="J149" i="7"/>
  <c r="H123" i="20" s="1"/>
  <c r="J148" i="7"/>
  <c r="H122" i="20" s="1"/>
  <c r="J147" i="7"/>
  <c r="H121" i="20" s="1"/>
  <c r="K153" i="7"/>
  <c r="I127" i="20" s="1"/>
  <c r="J153" i="7"/>
  <c r="H127" i="20" s="1"/>
  <c r="K152" i="7"/>
  <c r="I126" i="20" s="1"/>
  <c r="K151" i="7"/>
  <c r="I125" i="20" s="1"/>
  <c r="J151" i="7"/>
  <c r="H125" i="20" s="1"/>
  <c r="K150" i="7"/>
  <c r="I124" i="20" s="1"/>
  <c r="J150" i="7"/>
  <c r="H124" i="20" s="1"/>
  <c r="K148" i="7"/>
  <c r="I122" i="20" s="1"/>
  <c r="Y116" i="3"/>
  <c r="Q116" i="3" s="1"/>
  <c r="Y115" i="3"/>
  <c r="T116" i="3"/>
  <c r="T115" i="3"/>
  <c r="R251" i="4"/>
  <c r="Q251" i="4"/>
  <c r="R250" i="4"/>
  <c r="Q250" i="4"/>
  <c r="R161" i="4"/>
  <c r="I119" i="20" s="1"/>
  <c r="Q161" i="4"/>
  <c r="H119" i="20" s="1"/>
  <c r="K127" i="20" l="1"/>
  <c r="J127" i="20"/>
  <c r="H83" i="8"/>
  <c r="J128" i="20" s="1"/>
  <c r="K128" i="20"/>
  <c r="K121" i="20"/>
  <c r="M274" i="7"/>
  <c r="J121" i="20"/>
  <c r="L274" i="7"/>
  <c r="M153" i="7"/>
  <c r="L153" i="7"/>
  <c r="J119" i="20"/>
  <c r="U116" i="3"/>
  <c r="T117" i="3"/>
  <c r="H120" i="20" s="1"/>
  <c r="Q115" i="3"/>
  <c r="U115" i="3" s="1"/>
  <c r="R253" i="4"/>
  <c r="K119" i="20" s="1"/>
  <c r="U117" i="3" l="1"/>
  <c r="I120" i="20" s="1"/>
  <c r="M118" i="20" l="1"/>
  <c r="N186" i="10"/>
  <c r="L118" i="20" s="1"/>
  <c r="O185" i="10"/>
  <c r="M117" i="20" s="1"/>
  <c r="N185" i="10"/>
  <c r="L117" i="20" s="1"/>
  <c r="O143" i="10"/>
  <c r="K118" i="20" s="1"/>
  <c r="N143" i="10"/>
  <c r="J118" i="20" s="1"/>
  <c r="O142" i="10"/>
  <c r="K117" i="20" s="1"/>
  <c r="N142" i="10"/>
  <c r="J117" i="20" s="1"/>
  <c r="O97" i="10"/>
  <c r="I118" i="20" s="1"/>
  <c r="N97" i="10"/>
  <c r="H118" i="20" s="1"/>
  <c r="O96" i="10"/>
  <c r="I117" i="20" s="1"/>
  <c r="N96" i="10"/>
  <c r="H117" i="20" s="1"/>
  <c r="O57" i="10"/>
  <c r="G118" i="20" s="1"/>
  <c r="N57" i="10"/>
  <c r="F118" i="20" s="1"/>
  <c r="O56" i="10"/>
  <c r="G117" i="20" s="1"/>
  <c r="N56" i="10"/>
  <c r="F117" i="20" s="1"/>
  <c r="I108" i="8" l="1"/>
  <c r="I107" i="8"/>
  <c r="H107" i="8" s="1"/>
  <c r="I80" i="8"/>
  <c r="I79" i="8"/>
  <c r="H79" i="8" s="1"/>
  <c r="K371" i="7"/>
  <c r="M115" i="20" s="1"/>
  <c r="J371" i="7"/>
  <c r="K370" i="7"/>
  <c r="M114" i="20" s="1"/>
  <c r="J370" i="7"/>
  <c r="L114" i="20" s="1"/>
  <c r="K369" i="7"/>
  <c r="M113" i="20" s="1"/>
  <c r="J369" i="7"/>
  <c r="L113" i="20" s="1"/>
  <c r="K368" i="7"/>
  <c r="M112" i="20" s="1"/>
  <c r="J368" i="7"/>
  <c r="L112" i="20" s="1"/>
  <c r="K367" i="7"/>
  <c r="M111" i="20" s="1"/>
  <c r="J367" i="7"/>
  <c r="L111" i="20" s="1"/>
  <c r="K366" i="7"/>
  <c r="M110" i="20" s="1"/>
  <c r="J366" i="7"/>
  <c r="L110" i="20" s="1"/>
  <c r="K365" i="7"/>
  <c r="M109" i="20" s="1"/>
  <c r="J365" i="7"/>
  <c r="K266" i="7"/>
  <c r="K115" i="20" s="1"/>
  <c r="J266" i="7"/>
  <c r="K265" i="7"/>
  <c r="K114" i="20" s="1"/>
  <c r="J265" i="7"/>
  <c r="J114" i="20" s="1"/>
  <c r="K264" i="7"/>
  <c r="K113" i="20" s="1"/>
  <c r="J264" i="7"/>
  <c r="J113" i="20" s="1"/>
  <c r="K263" i="7"/>
  <c r="K112" i="20" s="1"/>
  <c r="J263" i="7"/>
  <c r="J112" i="20" s="1"/>
  <c r="K262" i="7"/>
  <c r="K111" i="20" s="1"/>
  <c r="J262" i="7"/>
  <c r="J111" i="20" s="1"/>
  <c r="K261" i="7"/>
  <c r="K110" i="20" s="1"/>
  <c r="J261" i="7"/>
  <c r="J110" i="20" s="1"/>
  <c r="K260" i="7"/>
  <c r="J260" i="7"/>
  <c r="K145" i="7"/>
  <c r="I115" i="20" s="1"/>
  <c r="J145" i="7"/>
  <c r="H115" i="20" s="1"/>
  <c r="K144" i="7"/>
  <c r="I114" i="20" s="1"/>
  <c r="J144" i="7"/>
  <c r="H114" i="20" s="1"/>
  <c r="K143" i="7"/>
  <c r="I113" i="20" s="1"/>
  <c r="J143" i="7"/>
  <c r="H113" i="20" s="1"/>
  <c r="K142" i="7"/>
  <c r="I112" i="20" s="1"/>
  <c r="J142" i="7"/>
  <c r="H112" i="20" s="1"/>
  <c r="K141" i="7"/>
  <c r="I111" i="20" s="1"/>
  <c r="J141" i="7"/>
  <c r="H111" i="20" s="1"/>
  <c r="K140" i="7"/>
  <c r="I110" i="20" s="1"/>
  <c r="J140" i="7"/>
  <c r="H110" i="20" s="1"/>
  <c r="K139" i="7"/>
  <c r="I109" i="20" s="1"/>
  <c r="J139" i="7"/>
  <c r="K64" i="7"/>
  <c r="G115" i="20" s="1"/>
  <c r="J64" i="7"/>
  <c r="F115" i="20" s="1"/>
  <c r="K63" i="7"/>
  <c r="G114" i="20" s="1"/>
  <c r="J63" i="7"/>
  <c r="F114" i="20" s="1"/>
  <c r="K62" i="7"/>
  <c r="G113" i="20" s="1"/>
  <c r="J62" i="7"/>
  <c r="F113" i="20" s="1"/>
  <c r="K61" i="7"/>
  <c r="G112" i="20" s="1"/>
  <c r="J61" i="7"/>
  <c r="F112" i="20" s="1"/>
  <c r="K60" i="7"/>
  <c r="G111" i="20" s="1"/>
  <c r="J60" i="7"/>
  <c r="F111" i="20" s="1"/>
  <c r="K59" i="7"/>
  <c r="G110" i="20" s="1"/>
  <c r="J59" i="7"/>
  <c r="F110" i="20" s="1"/>
  <c r="K58" i="7"/>
  <c r="J58" i="7"/>
  <c r="F109" i="20" s="1"/>
  <c r="L115" i="20" l="1"/>
  <c r="J115" i="20"/>
  <c r="K116" i="20"/>
  <c r="H80" i="8"/>
  <c r="J116" i="20" s="1"/>
  <c r="H108" i="8"/>
  <c r="L116" i="20" s="1"/>
  <c r="M266" i="7"/>
  <c r="M64" i="7"/>
  <c r="G109" i="20"/>
  <c r="L371" i="7"/>
  <c r="L109" i="20"/>
  <c r="M145" i="7"/>
  <c r="L266" i="7"/>
  <c r="J109" i="20"/>
  <c r="M371" i="7"/>
  <c r="L145" i="7"/>
  <c r="H109" i="20"/>
  <c r="K109" i="20"/>
  <c r="L64" i="7"/>
  <c r="Y56" i="3"/>
  <c r="Q56" i="3" s="1"/>
  <c r="Y55" i="3"/>
  <c r="T56" i="3"/>
  <c r="T55" i="3"/>
  <c r="N475" i="6"/>
  <c r="M475" i="6"/>
  <c r="N474" i="6"/>
  <c r="M474" i="6"/>
  <c r="N473" i="6"/>
  <c r="M473" i="6"/>
  <c r="N472" i="6"/>
  <c r="M472" i="6"/>
  <c r="N338" i="6"/>
  <c r="M338" i="6"/>
  <c r="N337" i="6"/>
  <c r="M337" i="6"/>
  <c r="N476" i="6" l="1"/>
  <c r="M476" i="6"/>
  <c r="U56" i="3"/>
  <c r="Q55" i="3"/>
  <c r="U55" i="3" s="1"/>
  <c r="T57" i="3"/>
  <c r="F97" i="20" s="1"/>
  <c r="U57" i="3" l="1"/>
  <c r="G97" i="20" s="1"/>
  <c r="N332" i="6" l="1"/>
  <c r="M332" i="6"/>
  <c r="N331" i="6" l="1"/>
  <c r="N341" i="6" s="1"/>
  <c r="M331" i="6"/>
  <c r="M341" i="6" s="1"/>
  <c r="N330" i="6"/>
  <c r="N339" i="6" s="1"/>
  <c r="M330" i="6"/>
  <c r="M339" i="6" s="1"/>
  <c r="N329" i="6"/>
  <c r="M329" i="6"/>
  <c r="N468" i="6"/>
  <c r="N478" i="6" s="1"/>
  <c r="M468" i="6"/>
  <c r="M478" i="6" s="1"/>
  <c r="N327" i="6"/>
  <c r="M327" i="6"/>
  <c r="N326" i="6"/>
  <c r="M326" i="6"/>
  <c r="N324" i="6"/>
  <c r="M324" i="6"/>
  <c r="N467" i="6"/>
  <c r="M467" i="6"/>
  <c r="N466" i="6"/>
  <c r="M466" i="6"/>
  <c r="N320" i="6"/>
  <c r="M320" i="6"/>
  <c r="N319" i="6"/>
  <c r="M319" i="6"/>
  <c r="N340" i="6" l="1"/>
  <c r="M340" i="6"/>
  <c r="M479" i="6"/>
  <c r="O479" i="6" s="1"/>
  <c r="N479" i="6"/>
  <c r="P479" i="6" s="1"/>
  <c r="N316" i="6"/>
  <c r="N348" i="6" s="1"/>
  <c r="M316" i="6"/>
  <c r="M348" i="6" s="1"/>
  <c r="N315" i="6"/>
  <c r="N346" i="6" s="1"/>
  <c r="M315" i="6"/>
  <c r="M346" i="6" s="1"/>
  <c r="N314" i="6"/>
  <c r="N345" i="6" s="1"/>
  <c r="M314" i="6"/>
  <c r="M345" i="6" s="1"/>
  <c r="N313" i="6"/>
  <c r="N343" i="6" s="1"/>
  <c r="M313" i="6"/>
  <c r="M343" i="6" s="1"/>
  <c r="N312" i="6"/>
  <c r="N344" i="6" s="1"/>
  <c r="M312" i="6"/>
  <c r="M344" i="6" s="1"/>
  <c r="N311" i="6"/>
  <c r="N347" i="6" s="1"/>
  <c r="M311" i="6"/>
  <c r="M347" i="6" s="1"/>
  <c r="R248" i="4" l="1"/>
  <c r="K96" i="20" s="1"/>
  <c r="Q248" i="4"/>
  <c r="J96" i="20" s="1"/>
  <c r="R159" i="4"/>
  <c r="I96" i="20" s="1"/>
  <c r="Q159" i="4"/>
  <c r="H96" i="20" s="1"/>
  <c r="R53" i="4"/>
  <c r="G96" i="20" s="1"/>
  <c r="Q53" i="4"/>
  <c r="F96" i="20" s="1"/>
  <c r="O183" i="10" l="1"/>
  <c r="M95" i="20" s="1"/>
  <c r="N183" i="10"/>
  <c r="L95" i="20" s="1"/>
  <c r="O182" i="10"/>
  <c r="M94" i="20" s="1"/>
  <c r="N182" i="10"/>
  <c r="L94" i="20" s="1"/>
  <c r="O140" i="10"/>
  <c r="K95" i="20" s="1"/>
  <c r="N140" i="10"/>
  <c r="J95" i="20" s="1"/>
  <c r="O139" i="10"/>
  <c r="K94" i="20" s="1"/>
  <c r="N139" i="10"/>
  <c r="J94" i="20" s="1"/>
  <c r="O94" i="10"/>
  <c r="I95" i="20" s="1"/>
  <c r="N94" i="10"/>
  <c r="H95" i="20" s="1"/>
  <c r="O93" i="10"/>
  <c r="I94" i="20" s="1"/>
  <c r="N93" i="10"/>
  <c r="H94" i="20" s="1"/>
  <c r="O54" i="10"/>
  <c r="G95" i="20" s="1"/>
  <c r="N54" i="10"/>
  <c r="F95" i="20" s="1"/>
  <c r="O53" i="10"/>
  <c r="G94" i="20" s="1"/>
  <c r="N53" i="10"/>
  <c r="F94" i="20" s="1"/>
  <c r="K363" i="7"/>
  <c r="M93" i="20" s="1"/>
  <c r="J363" i="7"/>
  <c r="L93" i="20" s="1"/>
  <c r="K362" i="7"/>
  <c r="M92" i="20" s="1"/>
  <c r="J362" i="7"/>
  <c r="L92" i="20" s="1"/>
  <c r="K361" i="7"/>
  <c r="M91" i="20" s="1"/>
  <c r="J361" i="7"/>
  <c r="L91" i="20" s="1"/>
  <c r="K360" i="7"/>
  <c r="M90" i="20" s="1"/>
  <c r="J360" i="7"/>
  <c r="L90" i="20" s="1"/>
  <c r="K359" i="7"/>
  <c r="M89" i="20" s="1"/>
  <c r="J359" i="7"/>
  <c r="L89" i="20" s="1"/>
  <c r="K358" i="7"/>
  <c r="M88" i="20" s="1"/>
  <c r="J358" i="7"/>
  <c r="L88" i="20" s="1"/>
  <c r="K357" i="7"/>
  <c r="M87" i="20" s="1"/>
  <c r="J357" i="7"/>
  <c r="L87" i="20" s="1"/>
  <c r="K258" i="7"/>
  <c r="K93" i="20" s="1"/>
  <c r="J258" i="7"/>
  <c r="J93" i="20" s="1"/>
  <c r="K257" i="7"/>
  <c r="K92" i="20" s="1"/>
  <c r="J257" i="7"/>
  <c r="J92" i="20" s="1"/>
  <c r="K256" i="7"/>
  <c r="K91" i="20" s="1"/>
  <c r="J256" i="7"/>
  <c r="J91" i="20" s="1"/>
  <c r="K255" i="7"/>
  <c r="K90" i="20" s="1"/>
  <c r="J255" i="7"/>
  <c r="J90" i="20" s="1"/>
  <c r="K254" i="7"/>
  <c r="K89" i="20" s="1"/>
  <c r="J254" i="7"/>
  <c r="J89" i="20" s="1"/>
  <c r="K253" i="7"/>
  <c r="K88" i="20" s="1"/>
  <c r="J253" i="7"/>
  <c r="J88" i="20" s="1"/>
  <c r="K252" i="7"/>
  <c r="J252" i="7"/>
  <c r="K137" i="7"/>
  <c r="I93" i="20" s="1"/>
  <c r="J137" i="7"/>
  <c r="H93" i="20" s="1"/>
  <c r="K136" i="7"/>
  <c r="I92" i="20" s="1"/>
  <c r="J136" i="7"/>
  <c r="H92" i="20" s="1"/>
  <c r="K135" i="7"/>
  <c r="I91" i="20" s="1"/>
  <c r="J135" i="7"/>
  <c r="H91" i="20" s="1"/>
  <c r="K134" i="7"/>
  <c r="I90" i="20" s="1"/>
  <c r="J134" i="7"/>
  <c r="H90" i="20" s="1"/>
  <c r="K133" i="7"/>
  <c r="I89" i="20" s="1"/>
  <c r="J133" i="7"/>
  <c r="H89" i="20" s="1"/>
  <c r="K132" i="7"/>
  <c r="I88" i="20" s="1"/>
  <c r="J132" i="7"/>
  <c r="H88" i="20" s="1"/>
  <c r="K131" i="7"/>
  <c r="I87" i="20" s="1"/>
  <c r="J131" i="7"/>
  <c r="K56" i="7"/>
  <c r="G93" i="20" s="1"/>
  <c r="J56" i="7"/>
  <c r="F93" i="20" s="1"/>
  <c r="K55" i="7"/>
  <c r="G92" i="20" s="1"/>
  <c r="J55" i="7"/>
  <c r="F92" i="20" s="1"/>
  <c r="K54" i="7"/>
  <c r="G91" i="20" s="1"/>
  <c r="J54" i="7"/>
  <c r="F91" i="20" s="1"/>
  <c r="K53" i="7"/>
  <c r="G90" i="20" s="1"/>
  <c r="J53" i="7"/>
  <c r="F90" i="20" s="1"/>
  <c r="K52" i="7"/>
  <c r="G89" i="20" s="1"/>
  <c r="J52" i="7"/>
  <c r="F89" i="20" s="1"/>
  <c r="K51" i="7"/>
  <c r="G88" i="20" s="1"/>
  <c r="J51" i="7"/>
  <c r="F88" i="20" s="1"/>
  <c r="K50" i="7"/>
  <c r="J50" i="7"/>
  <c r="Y227" i="3"/>
  <c r="Q227" i="3" s="1"/>
  <c r="T227" i="3"/>
  <c r="T228" i="3" s="1"/>
  <c r="Q180" i="3"/>
  <c r="T180" i="3"/>
  <c r="T182" i="3" s="1"/>
  <c r="J82" i="20" s="1"/>
  <c r="Y112" i="3"/>
  <c r="Q112" i="3" s="1"/>
  <c r="Y111" i="3"/>
  <c r="T112" i="3"/>
  <c r="T111" i="3"/>
  <c r="Y52" i="3"/>
  <c r="Q52" i="3" s="1"/>
  <c r="Y51" i="3"/>
  <c r="Q51" i="3" s="1"/>
  <c r="T52" i="3"/>
  <c r="T51" i="3"/>
  <c r="N462" i="6"/>
  <c r="M462" i="6"/>
  <c r="N461" i="6"/>
  <c r="M461" i="6"/>
  <c r="N306" i="6"/>
  <c r="M306" i="6"/>
  <c r="N305" i="6"/>
  <c r="M305" i="6"/>
  <c r="N460" i="6"/>
  <c r="M460" i="6"/>
  <c r="N304" i="6"/>
  <c r="M304" i="6"/>
  <c r="N303" i="6"/>
  <c r="N309" i="6" s="1"/>
  <c r="K86" i="20" s="1"/>
  <c r="M303" i="6"/>
  <c r="M309" i="6" s="1"/>
  <c r="J86" i="20" s="1"/>
  <c r="N302" i="6"/>
  <c r="N308" i="6" s="1"/>
  <c r="K85" i="20" s="1"/>
  <c r="M302" i="6"/>
  <c r="M308" i="6" s="1"/>
  <c r="J85" i="20" s="1"/>
  <c r="N301" i="6"/>
  <c r="N307" i="6" s="1"/>
  <c r="K84" i="20" s="1"/>
  <c r="M301" i="6"/>
  <c r="M307" i="6" s="1"/>
  <c r="J84" i="20" s="1"/>
  <c r="N133" i="6"/>
  <c r="M133" i="6"/>
  <c r="H86" i="20" s="1"/>
  <c r="N132" i="6"/>
  <c r="M132" i="6"/>
  <c r="H85" i="20" s="1"/>
  <c r="H450" i="20" s="1"/>
  <c r="H503" i="20" s="1"/>
  <c r="N131" i="6"/>
  <c r="M131" i="6"/>
  <c r="N74" i="6"/>
  <c r="G86" i="20" s="1"/>
  <c r="M74" i="6"/>
  <c r="F86" i="20" s="1"/>
  <c r="N73" i="6"/>
  <c r="G85" i="20" s="1"/>
  <c r="M73" i="6"/>
  <c r="F85" i="20" s="1"/>
  <c r="N72" i="6"/>
  <c r="G84" i="20" s="1"/>
  <c r="M72" i="6"/>
  <c r="F84" i="20" s="1"/>
  <c r="R319" i="4"/>
  <c r="Q319" i="4"/>
  <c r="R318" i="4"/>
  <c r="Q318" i="4"/>
  <c r="R244" i="4"/>
  <c r="Q244" i="4"/>
  <c r="R243" i="4"/>
  <c r="Q243" i="4"/>
  <c r="R155" i="4"/>
  <c r="Q155" i="4"/>
  <c r="R154" i="4"/>
  <c r="Q154" i="4"/>
  <c r="R49" i="4"/>
  <c r="Q49" i="4"/>
  <c r="R48" i="4"/>
  <c r="Q48" i="4"/>
  <c r="H449" i="20" l="1"/>
  <c r="H502" i="20" s="1"/>
  <c r="L82" i="20"/>
  <c r="J87" i="20"/>
  <c r="L258" i="7"/>
  <c r="M258" i="7"/>
  <c r="M363" i="7"/>
  <c r="L137" i="7"/>
  <c r="H87" i="20"/>
  <c r="K87" i="20"/>
  <c r="L56" i="7"/>
  <c r="F87" i="20"/>
  <c r="M137" i="7"/>
  <c r="M56" i="7"/>
  <c r="G87" i="20"/>
  <c r="H84" i="20"/>
  <c r="L363" i="7"/>
  <c r="O74" i="6"/>
  <c r="P133" i="6"/>
  <c r="P74" i="6"/>
  <c r="Q51" i="4"/>
  <c r="F81" i="20" s="1"/>
  <c r="Q157" i="4"/>
  <c r="H81" i="20" s="1"/>
  <c r="U227" i="3"/>
  <c r="U228" i="3" s="1"/>
  <c r="T113" i="3"/>
  <c r="H82" i="20" s="1"/>
  <c r="Q246" i="4"/>
  <c r="J81" i="20" s="1"/>
  <c r="U180" i="3"/>
  <c r="U182" i="3" s="1"/>
  <c r="K82" i="20" s="1"/>
  <c r="T53" i="3"/>
  <c r="F82" i="20" s="1"/>
  <c r="U112" i="3"/>
  <c r="Q111" i="3"/>
  <c r="U111" i="3" s="1"/>
  <c r="U52" i="3"/>
  <c r="U51" i="3"/>
  <c r="Q321" i="4"/>
  <c r="R321" i="4"/>
  <c r="R246" i="4"/>
  <c r="K81" i="20" s="1"/>
  <c r="R157" i="4"/>
  <c r="I81" i="20" s="1"/>
  <c r="R51" i="4"/>
  <c r="G81" i="20" s="1"/>
  <c r="H437" i="20" l="1"/>
  <c r="H489" i="20" s="1"/>
  <c r="O464" i="6"/>
  <c r="U53" i="3"/>
  <c r="G82" i="20" s="1"/>
  <c r="U113" i="3"/>
  <c r="I82" i="20" s="1"/>
  <c r="O137" i="10" l="1"/>
  <c r="K80" i="20" s="1"/>
  <c r="N137" i="10"/>
  <c r="J80" i="20" s="1"/>
  <c r="O136" i="10"/>
  <c r="K79" i="20" s="1"/>
  <c r="N136" i="10"/>
  <c r="J79" i="20" s="1"/>
  <c r="O91" i="10"/>
  <c r="I80" i="20" s="1"/>
  <c r="N91" i="10"/>
  <c r="H80" i="20" s="1"/>
  <c r="O90" i="10"/>
  <c r="I79" i="20" s="1"/>
  <c r="N90" i="10"/>
  <c r="H79" i="20" s="1"/>
  <c r="O51" i="10"/>
  <c r="G80" i="20" s="1"/>
  <c r="N51" i="10"/>
  <c r="F80" i="20" s="1"/>
  <c r="O50" i="10"/>
  <c r="G79" i="20" s="1"/>
  <c r="N50" i="10"/>
  <c r="F79" i="20" s="1"/>
  <c r="K250" i="7"/>
  <c r="K78" i="20" s="1"/>
  <c r="J250" i="7"/>
  <c r="J78" i="20" s="1"/>
  <c r="K249" i="7"/>
  <c r="K77" i="20" s="1"/>
  <c r="J249" i="7"/>
  <c r="J77" i="20" s="1"/>
  <c r="K248" i="7"/>
  <c r="K76" i="20" s="1"/>
  <c r="J248" i="7"/>
  <c r="J76" i="20" s="1"/>
  <c r="K247" i="7"/>
  <c r="K75" i="20" s="1"/>
  <c r="J247" i="7"/>
  <c r="J75" i="20" s="1"/>
  <c r="K246" i="7"/>
  <c r="K74" i="20" s="1"/>
  <c r="J246" i="7"/>
  <c r="J74" i="20" s="1"/>
  <c r="K245" i="7"/>
  <c r="K73" i="20" s="1"/>
  <c r="J245" i="7"/>
  <c r="J73" i="20" s="1"/>
  <c r="K244" i="7"/>
  <c r="J244" i="7"/>
  <c r="J72" i="20" s="1"/>
  <c r="K129" i="7"/>
  <c r="I78" i="20" s="1"/>
  <c r="J129" i="7"/>
  <c r="H78" i="20" s="1"/>
  <c r="K128" i="7"/>
  <c r="I77" i="20" s="1"/>
  <c r="J128" i="7"/>
  <c r="H77" i="20" s="1"/>
  <c r="K127" i="7"/>
  <c r="I76" i="20" s="1"/>
  <c r="J127" i="7"/>
  <c r="H76" i="20" s="1"/>
  <c r="K126" i="7"/>
  <c r="I75" i="20" s="1"/>
  <c r="J126" i="7"/>
  <c r="H75" i="20" s="1"/>
  <c r="K125" i="7"/>
  <c r="I74" i="20" s="1"/>
  <c r="J125" i="7"/>
  <c r="H74" i="20" s="1"/>
  <c r="K124" i="7"/>
  <c r="I73" i="20" s="1"/>
  <c r="J124" i="7"/>
  <c r="H73" i="20" s="1"/>
  <c r="K123" i="7"/>
  <c r="I72" i="20" s="1"/>
  <c r="J123" i="7"/>
  <c r="K48" i="7"/>
  <c r="G78" i="20" s="1"/>
  <c r="J48" i="7"/>
  <c r="F78" i="20" s="1"/>
  <c r="K47" i="7"/>
  <c r="G77" i="20" s="1"/>
  <c r="J47" i="7"/>
  <c r="F77" i="20" s="1"/>
  <c r="K46" i="7"/>
  <c r="G76" i="20" s="1"/>
  <c r="J46" i="7"/>
  <c r="F76" i="20" s="1"/>
  <c r="K45" i="7"/>
  <c r="G75" i="20" s="1"/>
  <c r="J45" i="7"/>
  <c r="F75" i="20" s="1"/>
  <c r="K44" i="7"/>
  <c r="G74" i="20" s="1"/>
  <c r="J44" i="7"/>
  <c r="F74" i="20" s="1"/>
  <c r="K43" i="7"/>
  <c r="G73" i="20" s="1"/>
  <c r="J43" i="7"/>
  <c r="F73" i="20" s="1"/>
  <c r="K42" i="7"/>
  <c r="J42" i="7"/>
  <c r="F72" i="20" s="1"/>
  <c r="Y177" i="3"/>
  <c r="Q177" i="3" s="1"/>
  <c r="T177" i="3"/>
  <c r="T178" i="3" s="1"/>
  <c r="J67" i="20" s="1"/>
  <c r="Y108" i="3"/>
  <c r="Q108" i="3" s="1"/>
  <c r="T108" i="3"/>
  <c r="Y107" i="3"/>
  <c r="T107" i="3"/>
  <c r="Y48" i="3"/>
  <c r="Q48" i="3" s="1"/>
  <c r="Y47" i="3"/>
  <c r="T48" i="3"/>
  <c r="T47" i="3"/>
  <c r="N295" i="6"/>
  <c r="N298" i="6" s="1"/>
  <c r="M295" i="6"/>
  <c r="M298" i="6" s="1"/>
  <c r="N294" i="6"/>
  <c r="N296" i="6" s="1"/>
  <c r="M294" i="6"/>
  <c r="M296" i="6" s="1"/>
  <c r="N293" i="6"/>
  <c r="M293" i="6"/>
  <c r="N292" i="6"/>
  <c r="M292" i="6"/>
  <c r="N291" i="6"/>
  <c r="M291" i="6"/>
  <c r="N290" i="6"/>
  <c r="M290" i="6"/>
  <c r="M250" i="7" l="1"/>
  <c r="L129" i="7"/>
  <c r="H72" i="20"/>
  <c r="M129" i="7"/>
  <c r="K72" i="20"/>
  <c r="M48" i="7"/>
  <c r="G72" i="20"/>
  <c r="L48" i="7"/>
  <c r="L250" i="7"/>
  <c r="M297" i="6"/>
  <c r="N297" i="6"/>
  <c r="M299" i="6"/>
  <c r="T49" i="3"/>
  <c r="F67" i="20" s="1"/>
  <c r="U177" i="3"/>
  <c r="U178" i="3" s="1"/>
  <c r="K67" i="20" s="1"/>
  <c r="N299" i="6"/>
  <c r="U48" i="3"/>
  <c r="U108" i="3"/>
  <c r="T109" i="3"/>
  <c r="H67" i="20" s="1"/>
  <c r="Q107" i="3"/>
  <c r="U107" i="3" s="1"/>
  <c r="Q47" i="3"/>
  <c r="U47" i="3" s="1"/>
  <c r="U49" i="3" l="1"/>
  <c r="G67" i="20" s="1"/>
  <c r="U109" i="3"/>
  <c r="I67" i="20" s="1"/>
  <c r="R239" i="4" l="1"/>
  <c r="Q239" i="4"/>
  <c r="R238" i="4"/>
  <c r="Q238" i="4"/>
  <c r="R150" i="4"/>
  <c r="Q150" i="4"/>
  <c r="R149" i="4"/>
  <c r="Q149" i="4"/>
  <c r="R44" i="4"/>
  <c r="Q44" i="4"/>
  <c r="R43" i="4"/>
  <c r="Q43" i="4"/>
  <c r="Q152" i="4" l="1"/>
  <c r="H66" i="20" s="1"/>
  <c r="R152" i="4"/>
  <c r="I66" i="20" s="1"/>
  <c r="Q241" i="4"/>
  <c r="J66" i="20" s="1"/>
  <c r="Q46" i="4"/>
  <c r="F66" i="20" s="1"/>
  <c r="R46" i="4"/>
  <c r="G66" i="20" s="1"/>
  <c r="R241" i="4"/>
  <c r="K66" i="20" s="1"/>
  <c r="O134" i="10" l="1"/>
  <c r="K65" i="20" s="1"/>
  <c r="N134" i="10"/>
  <c r="J65" i="20" s="1"/>
  <c r="O133" i="10"/>
  <c r="K64" i="20" s="1"/>
  <c r="N133" i="10"/>
  <c r="J64" i="20" s="1"/>
  <c r="O88" i="10"/>
  <c r="I65" i="20" s="1"/>
  <c r="N88" i="10"/>
  <c r="H65" i="20" s="1"/>
  <c r="O87" i="10"/>
  <c r="I64" i="20" s="1"/>
  <c r="N87" i="10"/>
  <c r="H64" i="20" s="1"/>
  <c r="O48" i="10"/>
  <c r="G65" i="20" s="1"/>
  <c r="N48" i="10"/>
  <c r="F65" i="20" s="1"/>
  <c r="O47" i="10"/>
  <c r="G64" i="20" s="1"/>
  <c r="N47" i="10"/>
  <c r="F64" i="20" s="1"/>
  <c r="I77" i="8" l="1"/>
  <c r="I76" i="8"/>
  <c r="H76" i="8" s="1"/>
  <c r="K242" i="7"/>
  <c r="J242" i="7"/>
  <c r="K241" i="7"/>
  <c r="K61" i="20" s="1"/>
  <c r="J241" i="7"/>
  <c r="J61" i="20" s="1"/>
  <c r="K240" i="7"/>
  <c r="K60" i="20" s="1"/>
  <c r="J240" i="7"/>
  <c r="J60" i="20" s="1"/>
  <c r="K239" i="7"/>
  <c r="K59" i="20" s="1"/>
  <c r="J239" i="7"/>
  <c r="J59" i="20" s="1"/>
  <c r="K238" i="7"/>
  <c r="K58" i="20" s="1"/>
  <c r="J238" i="7"/>
  <c r="J58" i="20" s="1"/>
  <c r="K237" i="7"/>
  <c r="K57" i="20" s="1"/>
  <c r="J237" i="7"/>
  <c r="J57" i="20" s="1"/>
  <c r="K236" i="7"/>
  <c r="M242" i="7" s="1"/>
  <c r="J236" i="7"/>
  <c r="K121" i="7"/>
  <c r="I62" i="20" s="1"/>
  <c r="J121" i="7"/>
  <c r="H62" i="20" s="1"/>
  <c r="K120" i="7"/>
  <c r="I61" i="20" s="1"/>
  <c r="J120" i="7"/>
  <c r="H61" i="20" s="1"/>
  <c r="K119" i="7"/>
  <c r="I60" i="20" s="1"/>
  <c r="J119" i="7"/>
  <c r="H60" i="20" s="1"/>
  <c r="K118" i="7"/>
  <c r="I59" i="20" s="1"/>
  <c r="J118" i="7"/>
  <c r="H59" i="20" s="1"/>
  <c r="K117" i="7"/>
  <c r="I58" i="20" s="1"/>
  <c r="J117" i="7"/>
  <c r="H58" i="20" s="1"/>
  <c r="K116" i="7"/>
  <c r="I57" i="20" s="1"/>
  <c r="J116" i="7"/>
  <c r="H57" i="20" s="1"/>
  <c r="K115" i="7"/>
  <c r="I56" i="20" s="1"/>
  <c r="J115" i="7"/>
  <c r="H56" i="20" s="1"/>
  <c r="Y174" i="3"/>
  <c r="Q174" i="3" s="1"/>
  <c r="T174" i="3"/>
  <c r="Y104" i="3"/>
  <c r="Q104" i="3" s="1"/>
  <c r="Y103" i="3"/>
  <c r="T104" i="3"/>
  <c r="T103" i="3"/>
  <c r="Y44" i="3"/>
  <c r="Q44" i="3" s="1"/>
  <c r="Y43" i="3"/>
  <c r="T44" i="3"/>
  <c r="T43" i="3"/>
  <c r="J62" i="20" l="1"/>
  <c r="K62" i="20"/>
  <c r="H77" i="8"/>
  <c r="J63" i="20" s="1"/>
  <c r="K63" i="20"/>
  <c r="J56" i="20"/>
  <c r="L242" i="7"/>
  <c r="K56" i="20"/>
  <c r="M121" i="7"/>
  <c r="L121" i="7"/>
  <c r="T45" i="3"/>
  <c r="F46" i="20" s="1"/>
  <c r="U174" i="3"/>
  <c r="U175" i="3" s="1"/>
  <c r="T175" i="3"/>
  <c r="U104" i="3"/>
  <c r="T105" i="3"/>
  <c r="H46" i="20" s="1"/>
  <c r="Q103" i="3"/>
  <c r="U103" i="3" s="1"/>
  <c r="U44" i="3"/>
  <c r="Q43" i="3"/>
  <c r="U43" i="3" s="1"/>
  <c r="N278" i="6"/>
  <c r="M278" i="6"/>
  <c r="N285" i="6"/>
  <c r="M285" i="6"/>
  <c r="N284" i="6"/>
  <c r="M284" i="6"/>
  <c r="N283" i="6"/>
  <c r="M283" i="6"/>
  <c r="N282" i="6"/>
  <c r="M282" i="6"/>
  <c r="N281" i="6"/>
  <c r="M281" i="6"/>
  <c r="N280" i="6"/>
  <c r="M280" i="6"/>
  <c r="N279" i="6"/>
  <c r="M279" i="6"/>
  <c r="K46" i="20" l="1"/>
  <c r="J46" i="20"/>
  <c r="U105" i="3"/>
  <c r="I46" i="20" s="1"/>
  <c r="U45" i="3"/>
  <c r="G46" i="20" s="1"/>
  <c r="M286" i="6"/>
  <c r="J54" i="20" s="1"/>
  <c r="N287" i="6"/>
  <c r="K48" i="20" s="1"/>
  <c r="N286" i="6"/>
  <c r="K54" i="20" s="1"/>
  <c r="M288" i="6"/>
  <c r="J55" i="20" s="1"/>
  <c r="N288" i="6"/>
  <c r="K55" i="20" s="1"/>
  <c r="M287" i="6"/>
  <c r="J48" i="20" s="1"/>
  <c r="N118" i="6"/>
  <c r="N123" i="6" s="1"/>
  <c r="M118" i="6"/>
  <c r="M123" i="6" s="1"/>
  <c r="H47" i="20" l="1"/>
  <c r="N117" i="6"/>
  <c r="N129" i="6" s="1"/>
  <c r="M117" i="6"/>
  <c r="M129" i="6" s="1"/>
  <c r="N116" i="6"/>
  <c r="N128" i="6" s="1"/>
  <c r="M116" i="6"/>
  <c r="M128" i="6" s="1"/>
  <c r="N115" i="6"/>
  <c r="N127" i="6" s="1"/>
  <c r="M115" i="6"/>
  <c r="M127" i="6" s="1"/>
  <c r="N114" i="6"/>
  <c r="N125" i="6" s="1"/>
  <c r="M114" i="6"/>
  <c r="M125" i="6" s="1"/>
  <c r="N113" i="6"/>
  <c r="N126" i="6" s="1"/>
  <c r="M113" i="6"/>
  <c r="M126" i="6" s="1"/>
  <c r="R234" i="4"/>
  <c r="Q234" i="4"/>
  <c r="R233" i="4"/>
  <c r="Q233" i="4"/>
  <c r="R145" i="4"/>
  <c r="Q145" i="4"/>
  <c r="R144" i="4"/>
  <c r="Q144" i="4"/>
  <c r="R41" i="4"/>
  <c r="G45" i="20" s="1"/>
  <c r="Q41" i="4"/>
  <c r="F45" i="20" s="1"/>
  <c r="H49" i="20" l="1"/>
  <c r="H441" i="20" s="1"/>
  <c r="H493" i="20" s="1"/>
  <c r="H52" i="20"/>
  <c r="H50" i="20"/>
  <c r="H447" i="20" s="1"/>
  <c r="H499" i="20" s="1"/>
  <c r="H51" i="20"/>
  <c r="H444" i="20" s="1"/>
  <c r="H496" i="20" s="1"/>
  <c r="H53" i="20"/>
  <c r="H438" i="20" s="1"/>
  <c r="H490" i="20" s="1"/>
  <c r="P129" i="6"/>
  <c r="P252" i="6" s="1"/>
  <c r="R147" i="4"/>
  <c r="I45" i="20" s="1"/>
  <c r="Q147" i="4"/>
  <c r="H45" i="20" s="1"/>
  <c r="R236" i="4"/>
  <c r="K45" i="20" s="1"/>
  <c r="Q236" i="4"/>
  <c r="J45" i="20" s="1"/>
  <c r="H445" i="20" l="1"/>
  <c r="H497" i="20" s="1"/>
  <c r="Y52" i="11"/>
  <c r="Y51" i="11" l="1"/>
  <c r="X51" i="11"/>
  <c r="Y50" i="11"/>
  <c r="X50" i="11"/>
  <c r="X53" i="11" s="1"/>
  <c r="Y53" i="11" l="1"/>
  <c r="AA53" i="11" s="1"/>
  <c r="Y46" i="11"/>
  <c r="X46" i="11"/>
  <c r="Y45" i="11"/>
  <c r="X45" i="11"/>
  <c r="O180" i="10"/>
  <c r="M44" i="20" s="1"/>
  <c r="M433" i="20" s="1"/>
  <c r="M485" i="20" s="1"/>
  <c r="N180" i="10"/>
  <c r="L44" i="20" s="1"/>
  <c r="L433" i="20" s="1"/>
  <c r="L485" i="20" s="1"/>
  <c r="O179" i="10"/>
  <c r="N179" i="10"/>
  <c r="O131" i="10"/>
  <c r="K44" i="20" s="1"/>
  <c r="K433" i="20" s="1"/>
  <c r="N131" i="10"/>
  <c r="J44" i="20" s="1"/>
  <c r="J433" i="20" s="1"/>
  <c r="O130" i="10"/>
  <c r="Q176" i="10" s="1"/>
  <c r="N130" i="10"/>
  <c r="O85" i="10"/>
  <c r="I44" i="20" s="1"/>
  <c r="I433" i="20" s="1"/>
  <c r="I485" i="20" s="1"/>
  <c r="N85" i="10"/>
  <c r="H44" i="20" s="1"/>
  <c r="H433" i="20" s="1"/>
  <c r="H485" i="20" s="1"/>
  <c r="O84" i="10"/>
  <c r="N84" i="10"/>
  <c r="O45" i="10"/>
  <c r="G44" i="20" s="1"/>
  <c r="G433" i="20" s="1"/>
  <c r="G485" i="20" s="1"/>
  <c r="N45" i="10"/>
  <c r="F44" i="20" s="1"/>
  <c r="O44" i="10"/>
  <c r="N44" i="10"/>
  <c r="M43" i="20" l="1"/>
  <c r="Q198" i="10"/>
  <c r="Q127" i="10"/>
  <c r="Q81" i="10"/>
  <c r="K485" i="20"/>
  <c r="J485" i="20"/>
  <c r="F433" i="20"/>
  <c r="F485" i="20" s="1"/>
  <c r="G498" i="20"/>
  <c r="G43" i="20"/>
  <c r="G451" i="20" s="1"/>
  <c r="J43" i="20"/>
  <c r="J451" i="20" s="1"/>
  <c r="K43" i="20"/>
  <c r="K451" i="20" s="1"/>
  <c r="H43" i="20"/>
  <c r="H451" i="20" s="1"/>
  <c r="I43" i="20"/>
  <c r="I451" i="20" s="1"/>
  <c r="L43" i="20"/>
  <c r="F43" i="20"/>
  <c r="F451" i="20" s="1"/>
  <c r="I392" i="20"/>
  <c r="Z53" i="11"/>
  <c r="H392" i="20"/>
  <c r="X48" i="11"/>
  <c r="I484" i="20"/>
  <c r="I481" i="20"/>
  <c r="G484" i="20"/>
  <c r="G481" i="20"/>
  <c r="I504" i="20" l="1"/>
  <c r="G483" i="20"/>
  <c r="I483" i="20"/>
  <c r="K481" i="20"/>
  <c r="G504" i="20"/>
  <c r="I498" i="20"/>
  <c r="K484" i="20"/>
  <c r="K483" i="20"/>
  <c r="K504" i="20"/>
  <c r="Z48" i="11"/>
  <c r="F392" i="20"/>
  <c r="Y47" i="11"/>
  <c r="Y48" i="11" s="1"/>
  <c r="J504" i="20"/>
  <c r="F481" i="20"/>
  <c r="F484" i="20"/>
  <c r="H484" i="20"/>
  <c r="H481" i="20"/>
  <c r="K498" i="20" l="1"/>
  <c r="H483" i="20"/>
  <c r="J481" i="20"/>
  <c r="J484" i="20"/>
  <c r="F504" i="20"/>
  <c r="H498" i="20"/>
  <c r="J483" i="20"/>
  <c r="H504" i="20"/>
  <c r="F483" i="20"/>
  <c r="AA48" i="11"/>
  <c r="G392" i="20"/>
  <c r="I105" i="8"/>
  <c r="I104" i="8"/>
  <c r="I74" i="8"/>
  <c r="I46" i="8"/>
  <c r="I73" i="8"/>
  <c r="J498" i="20" l="1"/>
  <c r="H46" i="8"/>
  <c r="I25" i="20"/>
  <c r="I440" i="20" s="1"/>
  <c r="I492" i="20" s="1"/>
  <c r="K46" i="8"/>
  <c r="H74" i="8"/>
  <c r="J25" i="20" s="1"/>
  <c r="J440" i="20" s="1"/>
  <c r="K25" i="20"/>
  <c r="K440" i="20" s="1"/>
  <c r="H104" i="8"/>
  <c r="H73" i="8"/>
  <c r="H105" i="8"/>
  <c r="L25" i="20" s="1"/>
  <c r="L440" i="20" s="1"/>
  <c r="L492" i="20" s="1"/>
  <c r="K355" i="7"/>
  <c r="M24" i="20" s="1"/>
  <c r="J355" i="7"/>
  <c r="K354" i="7"/>
  <c r="M23" i="20" s="1"/>
  <c r="J354" i="7"/>
  <c r="L23" i="20" s="1"/>
  <c r="K353" i="7"/>
  <c r="M22" i="20" s="1"/>
  <c r="J353" i="7"/>
  <c r="L22" i="20" s="1"/>
  <c r="K352" i="7"/>
  <c r="M21" i="20" s="1"/>
  <c r="M436" i="20" s="1"/>
  <c r="M488" i="20" s="1"/>
  <c r="J352" i="7"/>
  <c r="L21" i="20" s="1"/>
  <c r="K351" i="7"/>
  <c r="M20" i="20" s="1"/>
  <c r="J351" i="7"/>
  <c r="L20" i="20" s="1"/>
  <c r="K350" i="7"/>
  <c r="M19" i="20" s="1"/>
  <c r="J350" i="7"/>
  <c r="L19" i="20" s="1"/>
  <c r="K349" i="7"/>
  <c r="M18" i="20" s="1"/>
  <c r="M435" i="20" s="1"/>
  <c r="M487" i="20" s="1"/>
  <c r="J349" i="7"/>
  <c r="K234" i="7"/>
  <c r="K24" i="20" s="1"/>
  <c r="K434" i="20" s="1"/>
  <c r="J234" i="7"/>
  <c r="J24" i="20" s="1"/>
  <c r="J434" i="20" s="1"/>
  <c r="K233" i="7"/>
  <c r="K23" i="20" s="1"/>
  <c r="K452" i="20" s="1"/>
  <c r="J233" i="7"/>
  <c r="J23" i="20" s="1"/>
  <c r="J452" i="20" s="1"/>
  <c r="K232" i="7"/>
  <c r="K22" i="20" s="1"/>
  <c r="K424" i="20" s="1"/>
  <c r="J232" i="7"/>
  <c r="J22" i="20" s="1"/>
  <c r="J424" i="20" s="1"/>
  <c r="K231" i="7"/>
  <c r="K21" i="20" s="1"/>
  <c r="J231" i="7"/>
  <c r="J21" i="20" s="1"/>
  <c r="K230" i="7"/>
  <c r="K20" i="20" s="1"/>
  <c r="K425" i="20" s="1"/>
  <c r="J230" i="7"/>
  <c r="J20" i="20" s="1"/>
  <c r="J425" i="20" s="1"/>
  <c r="K229" i="7"/>
  <c r="K19" i="20" s="1"/>
  <c r="K428" i="20" s="1"/>
  <c r="J229" i="7"/>
  <c r="J19" i="20" s="1"/>
  <c r="J428" i="20" s="1"/>
  <c r="K228" i="7"/>
  <c r="J228" i="7"/>
  <c r="K113" i="7"/>
  <c r="I24" i="20" s="1"/>
  <c r="I434" i="20" s="1"/>
  <c r="J113" i="7"/>
  <c r="H24" i="20" s="1"/>
  <c r="H434" i="20" s="1"/>
  <c r="K112" i="7"/>
  <c r="I23" i="20" s="1"/>
  <c r="J112" i="7"/>
  <c r="H23" i="20" s="1"/>
  <c r="K111" i="7"/>
  <c r="I22" i="20" s="1"/>
  <c r="J111" i="7"/>
  <c r="H22" i="20" s="1"/>
  <c r="K110" i="7"/>
  <c r="I21" i="20" s="1"/>
  <c r="J110" i="7"/>
  <c r="H21" i="20" s="1"/>
  <c r="K109" i="7"/>
  <c r="I20" i="20" s="1"/>
  <c r="J109" i="7"/>
  <c r="H20" i="20" s="1"/>
  <c r="K108" i="7"/>
  <c r="I19" i="20" s="1"/>
  <c r="I428" i="20" s="1"/>
  <c r="J108" i="7"/>
  <c r="H19" i="20" s="1"/>
  <c r="H428" i="20" s="1"/>
  <c r="K107" i="7"/>
  <c r="I18" i="20" s="1"/>
  <c r="J107" i="7"/>
  <c r="H18" i="20" s="1"/>
  <c r="K40" i="7"/>
  <c r="G24" i="20" s="1"/>
  <c r="G434" i="20" s="1"/>
  <c r="J40" i="7"/>
  <c r="F24" i="20" s="1"/>
  <c r="F434" i="20" s="1"/>
  <c r="K39" i="7"/>
  <c r="G23" i="20" s="1"/>
  <c r="J39" i="7"/>
  <c r="F23" i="20" s="1"/>
  <c r="K38" i="7"/>
  <c r="G22" i="20" s="1"/>
  <c r="J38" i="7"/>
  <c r="F22" i="20" s="1"/>
  <c r="K37" i="7"/>
  <c r="G21" i="20" s="1"/>
  <c r="J37" i="7"/>
  <c r="F21" i="20" s="1"/>
  <c r="K36" i="7"/>
  <c r="G20" i="20" s="1"/>
  <c r="J36" i="7"/>
  <c r="F20" i="20" s="1"/>
  <c r="K35" i="7"/>
  <c r="G19" i="20" s="1"/>
  <c r="G428" i="20" s="1"/>
  <c r="J35" i="7"/>
  <c r="F19" i="20" s="1"/>
  <c r="F428" i="20" s="1"/>
  <c r="F480" i="20" s="1"/>
  <c r="K34" i="7"/>
  <c r="G18" i="20" s="1"/>
  <c r="G435" i="20" s="1"/>
  <c r="G487" i="20" s="1"/>
  <c r="J34" i="7"/>
  <c r="F18" i="20" s="1"/>
  <c r="F435" i="20" s="1"/>
  <c r="F487" i="20" s="1"/>
  <c r="M428" i="20" l="1"/>
  <c r="M480" i="20" s="1"/>
  <c r="M452" i="20"/>
  <c r="M505" i="20" s="1"/>
  <c r="M434" i="20"/>
  <c r="M486" i="20" s="1"/>
  <c r="L428" i="20"/>
  <c r="L480" i="20" s="1"/>
  <c r="L452" i="20"/>
  <c r="L505" i="20" s="1"/>
  <c r="G425" i="20"/>
  <c r="G477" i="20" s="1"/>
  <c r="G424" i="20"/>
  <c r="G476" i="20" s="1"/>
  <c r="H425" i="20"/>
  <c r="H477" i="20" s="1"/>
  <c r="H424" i="20"/>
  <c r="H476" i="20" s="1"/>
  <c r="L425" i="20"/>
  <c r="L477" i="20" s="1"/>
  <c r="L424" i="20"/>
  <c r="L476" i="20" s="1"/>
  <c r="I425" i="20"/>
  <c r="I477" i="20" s="1"/>
  <c r="I424" i="20"/>
  <c r="I476" i="20" s="1"/>
  <c r="M425" i="20"/>
  <c r="M477" i="20" s="1"/>
  <c r="M424" i="20"/>
  <c r="M476" i="20" s="1"/>
  <c r="F425" i="20"/>
  <c r="F477" i="20" s="1"/>
  <c r="F424" i="20"/>
  <c r="F476" i="20" s="1"/>
  <c r="L18" i="20"/>
  <c r="L435" i="20" s="1"/>
  <c r="L487" i="20" s="1"/>
  <c r="L355" i="7"/>
  <c r="L388" i="7" s="1"/>
  <c r="J436" i="20"/>
  <c r="I436" i="20"/>
  <c r="I488" i="20" s="1"/>
  <c r="K505" i="20"/>
  <c r="F436" i="20"/>
  <c r="F488" i="20" s="1"/>
  <c r="J477" i="20"/>
  <c r="G436" i="20"/>
  <c r="G488" i="20" s="1"/>
  <c r="K477" i="20"/>
  <c r="J476" i="20"/>
  <c r="L436" i="20"/>
  <c r="L488" i="20" s="1"/>
  <c r="K492" i="20"/>
  <c r="K476" i="20"/>
  <c r="J492" i="20"/>
  <c r="H436" i="20"/>
  <c r="H488" i="20" s="1"/>
  <c r="K436" i="20"/>
  <c r="F486" i="20"/>
  <c r="H486" i="20"/>
  <c r="I486" i="20"/>
  <c r="G480" i="20"/>
  <c r="I435" i="20"/>
  <c r="I487" i="20" s="1"/>
  <c r="H435" i="20"/>
  <c r="H487" i="20" s="1"/>
  <c r="L24" i="20"/>
  <c r="H25" i="20"/>
  <c r="H440" i="20" s="1"/>
  <c r="H492" i="20" s="1"/>
  <c r="J46" i="8"/>
  <c r="J18" i="20"/>
  <c r="J435" i="20" s="1"/>
  <c r="L234" i="7"/>
  <c r="L347" i="7" s="1"/>
  <c r="K18" i="20"/>
  <c r="K435" i="20" s="1"/>
  <c r="M234" i="7"/>
  <c r="M113" i="7"/>
  <c r="M226" i="7" s="1"/>
  <c r="M40" i="7"/>
  <c r="M105" i="7" s="1"/>
  <c r="L40" i="7"/>
  <c r="L105" i="7" s="1"/>
  <c r="M355" i="7"/>
  <c r="M388" i="7" s="1"/>
  <c r="L113" i="7"/>
  <c r="L226" i="7" s="1"/>
  <c r="M347" i="7"/>
  <c r="L434" i="20" l="1"/>
  <c r="L486" i="20" s="1"/>
  <c r="K487" i="20"/>
  <c r="K488" i="20"/>
  <c r="J487" i="20"/>
  <c r="J486" i="20"/>
  <c r="K486" i="20"/>
  <c r="J505" i="20"/>
  <c r="J488" i="20"/>
  <c r="J480" i="20"/>
  <c r="H480" i="20"/>
  <c r="K480" i="20"/>
  <c r="I480" i="20"/>
  <c r="G486" i="20"/>
  <c r="N268" i="6"/>
  <c r="M268" i="6"/>
  <c r="N265" i="6" l="1"/>
  <c r="M265" i="6"/>
  <c r="N264" i="6"/>
  <c r="M264" i="6"/>
  <c r="N62" i="6"/>
  <c r="M62" i="6"/>
  <c r="N61" i="6"/>
  <c r="M61" i="6"/>
  <c r="N444" i="6" l="1"/>
  <c r="M444" i="6"/>
  <c r="N443" i="6"/>
  <c r="M443" i="6"/>
  <c r="N260" i="6"/>
  <c r="M260" i="6"/>
  <c r="N259" i="6"/>
  <c r="M259" i="6"/>
  <c r="N60" i="6"/>
  <c r="N65" i="6" s="1"/>
  <c r="G12" i="20" s="1"/>
  <c r="G449" i="20" s="1"/>
  <c r="G502" i="20" s="1"/>
  <c r="M60" i="6"/>
  <c r="M65" i="6" s="1"/>
  <c r="F12" i="20" s="1"/>
  <c r="F449" i="20" s="1"/>
  <c r="F502" i="20" s="1"/>
  <c r="N59" i="6"/>
  <c r="N63" i="6" s="1"/>
  <c r="G10" i="20" s="1"/>
  <c r="G450" i="20" s="1"/>
  <c r="G503" i="20" s="1"/>
  <c r="M59" i="6"/>
  <c r="M63" i="6" s="1"/>
  <c r="F10" i="20" s="1"/>
  <c r="F450" i="20" s="1"/>
  <c r="F503" i="20" s="1"/>
  <c r="N58" i="6"/>
  <c r="M58" i="6"/>
  <c r="N445" i="6" l="1"/>
  <c r="M445" i="6"/>
  <c r="N450" i="6" l="1"/>
  <c r="M450" i="6"/>
  <c r="N449" i="6"/>
  <c r="M449" i="6"/>
  <c r="N448" i="6"/>
  <c r="N453" i="6" s="1"/>
  <c r="M448" i="6"/>
  <c r="M453" i="6" s="1"/>
  <c r="L12" i="20" s="1"/>
  <c r="L449" i="20" s="1"/>
  <c r="L502" i="20" s="1"/>
  <c r="N447" i="6"/>
  <c r="M447" i="6"/>
  <c r="N446" i="6"/>
  <c r="M446" i="6"/>
  <c r="N442" i="6"/>
  <c r="N458" i="6" s="1"/>
  <c r="M442" i="6"/>
  <c r="M458" i="6" s="1"/>
  <c r="L17" i="20" s="1"/>
  <c r="L438" i="20" s="1"/>
  <c r="L490" i="20" s="1"/>
  <c r="N441" i="6"/>
  <c r="N457" i="6" s="1"/>
  <c r="M441" i="6"/>
  <c r="M457" i="6" s="1"/>
  <c r="L16" i="20" s="1"/>
  <c r="N440" i="6"/>
  <c r="N456" i="6" s="1"/>
  <c r="M440" i="6"/>
  <c r="M456" i="6" s="1"/>
  <c r="L15" i="20" s="1"/>
  <c r="L444" i="20" s="1"/>
  <c r="L496" i="20" s="1"/>
  <c r="N439" i="6"/>
  <c r="N454" i="6" s="1"/>
  <c r="M439" i="6"/>
  <c r="M454" i="6" s="1"/>
  <c r="L13" i="20" s="1"/>
  <c r="L441" i="20" s="1"/>
  <c r="L493" i="20" s="1"/>
  <c r="N438" i="6"/>
  <c r="N455" i="6" s="1"/>
  <c r="M438" i="6"/>
  <c r="M455" i="6" s="1"/>
  <c r="L14" i="20" s="1"/>
  <c r="L447" i="20" s="1"/>
  <c r="L499" i="20" s="1"/>
  <c r="N267" i="6"/>
  <c r="M267" i="6"/>
  <c r="N266" i="6"/>
  <c r="M266" i="6"/>
  <c r="N263" i="6"/>
  <c r="N271" i="6" s="1"/>
  <c r="K12" i="20" s="1"/>
  <c r="K449" i="20" s="1"/>
  <c r="M263" i="6"/>
  <c r="M271" i="6" s="1"/>
  <c r="J12" i="20" s="1"/>
  <c r="J449" i="20" s="1"/>
  <c r="N262" i="6"/>
  <c r="M262" i="6"/>
  <c r="N261" i="6"/>
  <c r="M261" i="6"/>
  <c r="N258" i="6"/>
  <c r="N276" i="6" s="1"/>
  <c r="K17" i="20" s="1"/>
  <c r="K438" i="20" s="1"/>
  <c r="M258" i="6"/>
  <c r="M276" i="6" s="1"/>
  <c r="J17" i="20" s="1"/>
  <c r="J438" i="20" s="1"/>
  <c r="N257" i="6"/>
  <c r="N275" i="6" s="1"/>
  <c r="K16" i="20" s="1"/>
  <c r="K445" i="20" s="1"/>
  <c r="M257" i="6"/>
  <c r="M275" i="6" s="1"/>
  <c r="J16" i="20" s="1"/>
  <c r="J445" i="20" s="1"/>
  <c r="N256" i="6"/>
  <c r="N274" i="6" s="1"/>
  <c r="K15" i="20" s="1"/>
  <c r="K444" i="20" s="1"/>
  <c r="M256" i="6"/>
  <c r="M274" i="6" s="1"/>
  <c r="J15" i="20" s="1"/>
  <c r="J444" i="20" s="1"/>
  <c r="N255" i="6"/>
  <c r="N272" i="6" s="1"/>
  <c r="K13" i="20" s="1"/>
  <c r="K441" i="20" s="1"/>
  <c r="M255" i="6"/>
  <c r="M272" i="6" s="1"/>
  <c r="J13" i="20" s="1"/>
  <c r="J441" i="20" s="1"/>
  <c r="N254" i="6"/>
  <c r="N273" i="6" s="1"/>
  <c r="K14" i="20" s="1"/>
  <c r="K447" i="20" s="1"/>
  <c r="M254" i="6"/>
  <c r="M273" i="6" s="1"/>
  <c r="J14" i="20" s="1"/>
  <c r="J447" i="20" s="1"/>
  <c r="N55" i="6"/>
  <c r="N70" i="6" s="1"/>
  <c r="G17" i="20" s="1"/>
  <c r="G438" i="20" s="1"/>
  <c r="G490" i="20" s="1"/>
  <c r="M55" i="6"/>
  <c r="M70" i="6" s="1"/>
  <c r="F17" i="20" s="1"/>
  <c r="F438" i="20" s="1"/>
  <c r="F490" i="20" s="1"/>
  <c r="N54" i="6"/>
  <c r="N69" i="6" s="1"/>
  <c r="G16" i="20" s="1"/>
  <c r="G445" i="20" s="1"/>
  <c r="G497" i="20" s="1"/>
  <c r="M54" i="6"/>
  <c r="M69" i="6" s="1"/>
  <c r="F16" i="20" s="1"/>
  <c r="F445" i="20" s="1"/>
  <c r="F497" i="20" s="1"/>
  <c r="N53" i="6"/>
  <c r="M53" i="6"/>
  <c r="N52" i="6"/>
  <c r="N66" i="6" s="1"/>
  <c r="G13" i="20" s="1"/>
  <c r="G441" i="20" s="1"/>
  <c r="G493" i="20" s="1"/>
  <c r="M52" i="6"/>
  <c r="M66" i="6" s="1"/>
  <c r="F13" i="20" s="1"/>
  <c r="F441" i="20" s="1"/>
  <c r="F493" i="20" s="1"/>
  <c r="M51" i="6"/>
  <c r="M67" i="6" s="1"/>
  <c r="F14" i="20" s="1"/>
  <c r="F447" i="20" s="1"/>
  <c r="F499" i="20" s="1"/>
  <c r="L445" i="20" l="1"/>
  <c r="L497" i="20" s="1"/>
  <c r="K499" i="20"/>
  <c r="K496" i="20"/>
  <c r="K490" i="20"/>
  <c r="J493" i="20"/>
  <c r="J497" i="20"/>
  <c r="J502" i="20"/>
  <c r="K493" i="20"/>
  <c r="K497" i="20"/>
  <c r="K502" i="20"/>
  <c r="J499" i="20"/>
  <c r="J496" i="20"/>
  <c r="J490" i="20"/>
  <c r="M451" i="6"/>
  <c r="L10" i="20" s="1"/>
  <c r="L450" i="20" s="1"/>
  <c r="L503" i="20" s="1"/>
  <c r="M270" i="6"/>
  <c r="J11" i="20" s="1"/>
  <c r="J437" i="20" s="1"/>
  <c r="N451" i="6"/>
  <c r="N270" i="6"/>
  <c r="K11" i="20" s="1"/>
  <c r="K437" i="20" s="1"/>
  <c r="M269" i="6"/>
  <c r="M452" i="6"/>
  <c r="N452" i="6"/>
  <c r="N269" i="6"/>
  <c r="N57" i="6"/>
  <c r="N64" i="6" s="1"/>
  <c r="G11" i="20" s="1"/>
  <c r="G437" i="20" s="1"/>
  <c r="M57" i="6"/>
  <c r="M64" i="6" s="1"/>
  <c r="F11" i="20" s="1"/>
  <c r="F437" i="20" s="1"/>
  <c r="F489" i="20" s="1"/>
  <c r="N56" i="6"/>
  <c r="N68" i="6" s="1"/>
  <c r="G15" i="20" s="1"/>
  <c r="G444" i="20" s="1"/>
  <c r="G496" i="20" s="1"/>
  <c r="M56" i="6"/>
  <c r="M68" i="6" s="1"/>
  <c r="F15" i="20" s="1"/>
  <c r="F444" i="20" s="1"/>
  <c r="N51" i="6"/>
  <c r="N67" i="6" s="1"/>
  <c r="G14" i="20" s="1"/>
  <c r="G447" i="20" s="1"/>
  <c r="G499" i="20" s="1"/>
  <c r="G489" i="20" l="1"/>
  <c r="K489" i="20"/>
  <c r="J489" i="20"/>
  <c r="F496" i="20"/>
  <c r="P458" i="6"/>
  <c r="O458" i="6"/>
  <c r="L11" i="20"/>
  <c r="L437" i="20" s="1"/>
  <c r="L489" i="20" s="1"/>
  <c r="J10" i="20"/>
  <c r="J450" i="20" s="1"/>
  <c r="P436" i="6"/>
  <c r="K10" i="20"/>
  <c r="P70" i="6"/>
  <c r="P111" i="6" s="1"/>
  <c r="R229" i="4"/>
  <c r="Q229" i="4"/>
  <c r="R227" i="4"/>
  <c r="Q227" i="4"/>
  <c r="R139" i="4"/>
  <c r="Q139" i="4"/>
  <c r="R138" i="4"/>
  <c r="Q138" i="4"/>
  <c r="K450" i="20" l="1"/>
  <c r="K415" i="20"/>
  <c r="K417" i="20" s="1"/>
  <c r="J503" i="20"/>
  <c r="J453" i="20"/>
  <c r="J507" i="20" s="1"/>
  <c r="J415" i="20"/>
  <c r="Q231" i="4"/>
  <c r="R231" i="4"/>
  <c r="I41" i="5"/>
  <c r="M8" i="20" l="1"/>
  <c r="K43" i="5"/>
  <c r="J454" i="20"/>
  <c r="K503" i="20"/>
  <c r="K453" i="20"/>
  <c r="K507" i="20" s="1"/>
  <c r="J417" i="20"/>
  <c r="J506" i="20" s="1"/>
  <c r="H41" i="5"/>
  <c r="J43" i="5" s="1"/>
  <c r="M451" i="20" l="1"/>
  <c r="M415" i="20"/>
  <c r="J508" i="20"/>
  <c r="L8" i="20"/>
  <c r="L451" i="20" s="1"/>
  <c r="L504" i="20" s="1"/>
  <c r="Q140" i="4"/>
  <c r="R137" i="4"/>
  <c r="Q137" i="4"/>
  <c r="R136" i="4"/>
  <c r="Q136" i="4"/>
  <c r="M417" i="20" l="1"/>
  <c r="M504" i="20"/>
  <c r="M506" i="20" s="1"/>
  <c r="M453" i="20"/>
  <c r="Q142" i="4"/>
  <c r="R142" i="4"/>
  <c r="L415" i="20"/>
  <c r="K454" i="20"/>
  <c r="R37" i="4"/>
  <c r="Q37" i="4"/>
  <c r="R36" i="4"/>
  <c r="Q36" i="4"/>
  <c r="R35" i="4"/>
  <c r="Q35" i="4"/>
  <c r="Q34" i="4"/>
  <c r="R34" i="4"/>
  <c r="Q97" i="3"/>
  <c r="Q100" i="3"/>
  <c r="T100" i="3"/>
  <c r="T99" i="3"/>
  <c r="T97" i="3"/>
  <c r="T96" i="3"/>
  <c r="Q38" i="3"/>
  <c r="T39" i="3"/>
  <c r="Q39" i="3"/>
  <c r="T40" i="3"/>
  <c r="Q40" i="3"/>
  <c r="T38" i="3"/>
  <c r="T37" i="3"/>
  <c r="I69" i="2"/>
  <c r="P69" i="2" s="1"/>
  <c r="I68" i="2"/>
  <c r="P68" i="2" s="1"/>
  <c r="O69" i="2"/>
  <c r="O68" i="2"/>
  <c r="M454" i="20" l="1"/>
  <c r="M507" i="20"/>
  <c r="M508" i="20" s="1"/>
  <c r="L453" i="20"/>
  <c r="L507" i="20" s="1"/>
  <c r="L417" i="20"/>
  <c r="L506" i="20" s="1"/>
  <c r="K506" i="20"/>
  <c r="R39" i="4"/>
  <c r="Q39" i="4"/>
  <c r="T41" i="3"/>
  <c r="T101" i="3"/>
  <c r="O70" i="2"/>
  <c r="Q94" i="2" s="1"/>
  <c r="U97" i="3"/>
  <c r="U39" i="3"/>
  <c r="U40" i="3"/>
  <c r="U100" i="3"/>
  <c r="Q96" i="3"/>
  <c r="Q99" i="3"/>
  <c r="U99" i="3" s="1"/>
  <c r="U38" i="3"/>
  <c r="Q37" i="3"/>
  <c r="P70" i="2"/>
  <c r="R94" i="2" s="1"/>
  <c r="I28" i="2"/>
  <c r="P28" i="2" s="1"/>
  <c r="O28" i="2"/>
  <c r="I27" i="2"/>
  <c r="O27" i="2"/>
  <c r="O62" i="1"/>
  <c r="O61" i="1"/>
  <c r="H37" i="1"/>
  <c r="P37" i="1" s="1"/>
  <c r="O37" i="1"/>
  <c r="O36" i="1"/>
  <c r="K508" i="20" l="1"/>
  <c r="L454" i="20"/>
  <c r="L508" i="20"/>
  <c r="H6" i="20"/>
  <c r="H452" i="20" s="1"/>
  <c r="F6" i="20"/>
  <c r="F452" i="20" s="1"/>
  <c r="O29" i="2"/>
  <c r="Q65" i="2" s="1"/>
  <c r="H36" i="1"/>
  <c r="P36" i="1" s="1"/>
  <c r="P38" i="1" s="1"/>
  <c r="U96" i="3"/>
  <c r="U101" i="3" s="1"/>
  <c r="U37" i="3"/>
  <c r="U41" i="3" s="1"/>
  <c r="P27" i="2"/>
  <c r="P29" i="2" s="1"/>
  <c r="R65" i="2" s="1"/>
  <c r="O63" i="1"/>
  <c r="H62" i="1"/>
  <c r="P62" i="1" s="1"/>
  <c r="H61" i="1"/>
  <c r="P61" i="1" s="1"/>
  <c r="O38" i="1"/>
  <c r="H453" i="20" l="1"/>
  <c r="H507" i="20" s="1"/>
  <c r="F505" i="20"/>
  <c r="F506" i="20" s="1"/>
  <c r="F415" i="20"/>
  <c r="I6" i="20"/>
  <c r="G6" i="20"/>
  <c r="G452" i="20" s="1"/>
  <c r="P63" i="1"/>
  <c r="H505" i="20" l="1"/>
  <c r="G505" i="20"/>
  <c r="G453" i="20"/>
  <c r="G507" i="20" s="1"/>
  <c r="H415" i="20"/>
  <c r="H454" i="20" s="1"/>
  <c r="R67" i="1"/>
  <c r="I5" i="20"/>
  <c r="I452" i="20" s="1"/>
  <c r="G415" i="20"/>
  <c r="G417" i="20" s="1"/>
  <c r="F453" i="20"/>
  <c r="F454" i="20" s="1"/>
  <c r="F507" i="20" l="1"/>
  <c r="G454" i="20"/>
  <c r="I505" i="20"/>
  <c r="I453" i="20"/>
  <c r="I507" i="20" s="1"/>
  <c r="F417" i="20"/>
  <c r="H417" i="20"/>
  <c r="H506" i="20" s="1"/>
  <c r="H508" i="20" s="1"/>
  <c r="I415" i="20"/>
  <c r="G506" i="20"/>
  <c r="G508" i="20" s="1"/>
  <c r="I454" i="20" l="1"/>
  <c r="F508" i="20"/>
  <c r="I417" i="20"/>
  <c r="I506" i="20" s="1"/>
  <c r="I508" i="20" s="1"/>
</calcChain>
</file>

<file path=xl/sharedStrings.xml><?xml version="1.0" encoding="utf-8"?>
<sst xmlns="http://schemas.openxmlformats.org/spreadsheetml/2006/main" count="8952" uniqueCount="1262">
  <si>
    <t>№ ист.</t>
  </si>
  <si>
    <t>Наименование производства</t>
  </si>
  <si>
    <t>Наименование материала</t>
  </si>
  <si>
    <t>Наименование ЗВ</t>
  </si>
  <si>
    <t>Код</t>
  </si>
  <si>
    <t>2026 год</t>
  </si>
  <si>
    <t xml:space="preserve">м3/час </t>
  </si>
  <si>
    <t>м3/год</t>
  </si>
  <si>
    <t>Гидрометаллургический цех (ГМЦ)</t>
  </si>
  <si>
    <t>Снятие техногенного грунта</t>
  </si>
  <si>
    <t>Техногенный грунт</t>
  </si>
  <si>
    <t>2027 год</t>
  </si>
  <si>
    <t>γ</t>
  </si>
  <si>
    <t>Е</t>
  </si>
  <si>
    <t>z</t>
  </si>
  <si>
    <t>м3/час</t>
  </si>
  <si>
    <t>Пыль неорг.с сод-м SiO2 70-20%</t>
  </si>
  <si>
    <t>грунт</t>
  </si>
  <si>
    <t>Погрузка техногенного грунта в автосамосвалы</t>
  </si>
  <si>
    <t>Наименование источника</t>
  </si>
  <si>
    <t>N</t>
  </si>
  <si>
    <t>q1</t>
  </si>
  <si>
    <t>L</t>
  </si>
  <si>
    <t>n</t>
  </si>
  <si>
    <t>T</t>
  </si>
  <si>
    <t>М т/год</t>
  </si>
  <si>
    <t>Автомобиль-самосвал Isuzu</t>
  </si>
  <si>
    <t>Пыль неорг. с сод-м SiO2 70-20%</t>
  </si>
  <si>
    <t xml:space="preserve">Автомобиль-самосвал КАМАЗ-65802 </t>
  </si>
  <si>
    <t>Недостающий грунт</t>
  </si>
  <si>
    <t>N ист</t>
  </si>
  <si>
    <t>К1</t>
  </si>
  <si>
    <t>К2</t>
  </si>
  <si>
    <t>К3</t>
  </si>
  <si>
    <t>К4</t>
  </si>
  <si>
    <t>К5</t>
  </si>
  <si>
    <t>К6</t>
  </si>
  <si>
    <t>К7</t>
  </si>
  <si>
    <t>В'</t>
  </si>
  <si>
    <t>Gчас</t>
  </si>
  <si>
    <t>Gгод</t>
  </si>
  <si>
    <t>Загрязняющее вещество</t>
  </si>
  <si>
    <t>Код ЗВ</t>
  </si>
  <si>
    <t>Результаты расчетов</t>
  </si>
  <si>
    <t>т/час</t>
  </si>
  <si>
    <t>т/год</t>
  </si>
  <si>
    <t>г/с</t>
  </si>
  <si>
    <t>-</t>
  </si>
  <si>
    <t>Пыль неорг. с содержанием SiO2 70-20 %</t>
  </si>
  <si>
    <t>2908</t>
  </si>
  <si>
    <t xml:space="preserve">Устройство насыпи </t>
  </si>
  <si>
    <t>Устройство выемки</t>
  </si>
  <si>
    <t>Наименование процесса</t>
  </si>
  <si>
    <t>Т, ч/год</t>
  </si>
  <si>
    <t>В, т/год</t>
  </si>
  <si>
    <t>n, %</t>
  </si>
  <si>
    <t>Наименование загрязняющего вещества</t>
  </si>
  <si>
    <t>Выбросы загрязняющих веществ</t>
  </si>
  <si>
    <t>Укладка асфальтобетона</t>
  </si>
  <si>
    <t>2754</t>
  </si>
  <si>
    <t>2028 год</t>
  </si>
  <si>
    <t>Земляные работы</t>
  </si>
  <si>
    <t xml:space="preserve">Устройство асфальтобетонного покрытия </t>
  </si>
  <si>
    <t>2029 год</t>
  </si>
  <si>
    <t xml:space="preserve">Устройство покрытия из щебеночно-песчаных смесей </t>
  </si>
  <si>
    <t>щебеночно-песчаные смеси</t>
  </si>
  <si>
    <t>плотность принята 2,7 т/м3</t>
  </si>
  <si>
    <t xml:space="preserve">Устройство щебеночного покрытия </t>
  </si>
  <si>
    <t>щебень фракции 20-70 мм</t>
  </si>
  <si>
    <t>Разработка грунта под фундаменты</t>
  </si>
  <si>
    <t>Обратная засыпка грунта</t>
  </si>
  <si>
    <t>Устройство щебеночного покрытия (аварийная ДЭС)</t>
  </si>
  <si>
    <t>Примечание: одновременно производится один вид работ</t>
  </si>
  <si>
    <t>сухая упрочняющая смесь на основе высокоактивного портландцемента</t>
  </si>
  <si>
    <t xml:space="preserve">Пересыпка полимерного покрытия АЛЬФАПОЛ ПУ-4ВН </t>
  </si>
  <si>
    <t>сухая смесь на основе цемента</t>
  </si>
  <si>
    <t>Пересыпка полимерного покрытия UCRETE UD 200</t>
  </si>
  <si>
    <t>Источник выброса</t>
  </si>
  <si>
    <t>Марка ЛКМ</t>
  </si>
  <si>
    <t>Способ окраски</t>
  </si>
  <si>
    <t>Фактический расход ЛКМ, mф , кг/год</t>
  </si>
  <si>
    <t>Фактический расход ЛКМ, mх , кг/час</t>
  </si>
  <si>
    <t>Доля краски, потерянной в виде аэрозоля, dа (% мас.)</t>
  </si>
  <si>
    <t xml:space="preserve">Доля растворителя в ЛКМ при нанесении покрытия, d'р, (%, мас.), </t>
  </si>
  <si>
    <t xml:space="preserve"> Доля растворителя в ЛКМ при сушке покрытия, d''р, (%, мас.), </t>
  </si>
  <si>
    <t>Доля летучей части (растворителя) в ЛКМ, fр, (%, мас.)</t>
  </si>
  <si>
    <t>Содержание компонента «х» в летучей части ЛКМ, dx,(%, мас.)</t>
  </si>
  <si>
    <t>Выбросы</t>
  </si>
  <si>
    <t>M1, г/с</t>
  </si>
  <si>
    <t>G1, т/год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</si>
  <si>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</si>
  <si>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</si>
  <si>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</si>
  <si>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</si>
  <si>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</si>
  <si>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</si>
  <si>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</si>
  <si>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</si>
  <si>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</si>
  <si>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12</t>
  </si>
  <si>
    <t>Грунтовка ГФ-021</t>
  </si>
  <si>
    <t>Ручной</t>
  </si>
  <si>
    <t xml:space="preserve"> - </t>
  </si>
  <si>
    <t>Ксилол</t>
  </si>
  <si>
    <t>0616</t>
  </si>
  <si>
    <t>Грунтовка ГФ-031</t>
  </si>
  <si>
    <t>Уайт-спирит</t>
  </si>
  <si>
    <t>2752</t>
  </si>
  <si>
    <t>Сольвент</t>
  </si>
  <si>
    <t>2750</t>
  </si>
  <si>
    <t>Эмаль ПФ-115</t>
  </si>
  <si>
    <t>Бутиловый спирт</t>
  </si>
  <si>
    <t>1042</t>
  </si>
  <si>
    <t>Ацетон</t>
  </si>
  <si>
    <t>1401</t>
  </si>
  <si>
    <t>Бутилацетат</t>
  </si>
  <si>
    <t>1210</t>
  </si>
  <si>
    <t>Толуол</t>
  </si>
  <si>
    <t>0621</t>
  </si>
  <si>
    <t>Эпоксидное покрытие</t>
  </si>
  <si>
    <t>Этилацетат</t>
  </si>
  <si>
    <t>1240</t>
  </si>
  <si>
    <t>0,5</t>
  </si>
  <si>
    <t>Эмаль полиуретановая</t>
  </si>
  <si>
    <t>штукатурка</t>
  </si>
  <si>
    <t>Пересыпка шпатлевки</t>
  </si>
  <si>
    <t>шпатлевка</t>
  </si>
  <si>
    <t>(ПФ-115)</t>
  </si>
  <si>
    <t>Пересыпка клея для керамической плитки Ceresit</t>
  </si>
  <si>
    <t>клей  Ceresit</t>
  </si>
  <si>
    <t>Процесс</t>
  </si>
  <si>
    <t>Марка сварочного материала</t>
  </si>
  <si>
    <t>Расход  сварочных материалов</t>
  </si>
  <si>
    <t>Удел. выдел. G, г/кг</t>
  </si>
  <si>
    <t>КПД очистки, %</t>
  </si>
  <si>
    <t>Выбросы ЗВ</t>
  </si>
  <si>
    <t>кг/час</t>
  </si>
  <si>
    <t>кг/год</t>
  </si>
  <si>
    <t>Сварочные посты</t>
  </si>
  <si>
    <t>Э-42А (УОНИ-13/45)</t>
  </si>
  <si>
    <t>Фтористые газ.соед</t>
  </si>
  <si>
    <t>0342</t>
  </si>
  <si>
    <t>0</t>
  </si>
  <si>
    <t>Диоксид азота</t>
  </si>
  <si>
    <t>0301</t>
  </si>
  <si>
    <t>Марганец и его соед.</t>
  </si>
  <si>
    <t>0143</t>
  </si>
  <si>
    <t>Фториды</t>
  </si>
  <si>
    <t>0344</t>
  </si>
  <si>
    <t>Железа оксид</t>
  </si>
  <si>
    <t>0123</t>
  </si>
  <si>
    <t>Пыль неорг.с сод-м SiO2 70-20 %</t>
  </si>
  <si>
    <t>Оксид углерода</t>
  </si>
  <si>
    <t>0337</t>
  </si>
  <si>
    <t>Оборудование</t>
  </si>
  <si>
    <t>Удельное выделение q, г/сварку</t>
  </si>
  <si>
    <t>Количество сварок N, шт/год</t>
  </si>
  <si>
    <t>Углерода оксид</t>
  </si>
  <si>
    <t>Хлорэтилен /Винилхлорид/</t>
  </si>
  <si>
    <t>0827</t>
  </si>
  <si>
    <t>Сварочная машина для полиэтиленовых труб</t>
  </si>
  <si>
    <t>Загрязняющие в-ва</t>
  </si>
  <si>
    <t>M, г/с</t>
  </si>
  <si>
    <t>G, т/год</t>
  </si>
  <si>
    <t>дизтопливо</t>
  </si>
  <si>
    <t>Азота диоксид</t>
  </si>
  <si>
    <t>Азота оксид</t>
  </si>
  <si>
    <t>0304</t>
  </si>
  <si>
    <t>Сернистый ангидрид</t>
  </si>
  <si>
    <t>0330</t>
  </si>
  <si>
    <t>Формальдегид</t>
  </si>
  <si>
    <t>1325</t>
  </si>
  <si>
    <t>Углерод (Сажа)</t>
  </si>
  <si>
    <t>0328</t>
  </si>
  <si>
    <t xml:space="preserve">ДЭС-50 кВт              ММЗ Д-246 (Ф) </t>
  </si>
  <si>
    <t>Объект</t>
  </si>
  <si>
    <t>Наименование нефтепродукта</t>
  </si>
  <si>
    <t>Vс, м3/час</t>
  </si>
  <si>
    <t>Qоз, м3</t>
  </si>
  <si>
    <t>Qвл, м3</t>
  </si>
  <si>
    <t>Всего</t>
  </si>
  <si>
    <t>Заправка техники</t>
  </si>
  <si>
    <t>Дизтопливо</t>
  </si>
  <si>
    <t>Углеводороды С12-С19</t>
  </si>
  <si>
    <t>м3</t>
  </si>
  <si>
    <t>Сероводород</t>
  </si>
  <si>
    <t>0333</t>
  </si>
  <si>
    <t>0,28</t>
  </si>
  <si>
    <t>К8</t>
  </si>
  <si>
    <t>К9</t>
  </si>
  <si>
    <t>G</t>
  </si>
  <si>
    <t>q'</t>
  </si>
  <si>
    <t>F</t>
  </si>
  <si>
    <t>t</t>
  </si>
  <si>
    <t>Тс</t>
  </si>
  <si>
    <t>Тд</t>
  </si>
  <si>
    <t>ЗВ</t>
  </si>
  <si>
    <t>ч/сут</t>
  </si>
  <si>
    <t xml:space="preserve">Разгрузка с автосамосвалов </t>
  </si>
  <si>
    <t>высота, м</t>
  </si>
  <si>
    <t>Хранение</t>
  </si>
  <si>
    <t>Склад техногенного грунта</t>
  </si>
  <si>
    <t>техногенный грунт</t>
  </si>
  <si>
    <t xml:space="preserve">Разработка выемки </t>
  </si>
  <si>
    <t>Участок смешивания пульпы концентратов (УСПК)</t>
  </si>
  <si>
    <t>Углеводороды предельные С12-С19</t>
  </si>
  <si>
    <t>Эмаль МА-25</t>
  </si>
  <si>
    <t>Избыток грунта</t>
  </si>
  <si>
    <t>1001</t>
  </si>
  <si>
    <t>ДЭС-30 кВт     ЯМЗ Д-246 (РФ)</t>
  </si>
  <si>
    <t>Участок охлаждения конденсата (УОК)</t>
  </si>
  <si>
    <t>Мастика "Вектор 1025"</t>
  </si>
  <si>
    <t>Мастика "Вектор 1214"</t>
  </si>
  <si>
    <t>Участок вспомогательных процессов (УВП)</t>
  </si>
  <si>
    <t>Пересыпка "Кальматрон-Эластик"</t>
  </si>
  <si>
    <t>Корпус CIL</t>
  </si>
  <si>
    <t>Пересыпка цементно-песчаной смеси</t>
  </si>
  <si>
    <t>цементно-песчаная смесь для стяжки</t>
  </si>
  <si>
    <t>Пересыпка смеси Mastertop 135PG</t>
  </si>
  <si>
    <t>1,5</t>
  </si>
  <si>
    <t>Элакор - ПУ Грунт</t>
  </si>
  <si>
    <t>Краска ОС-12-03</t>
  </si>
  <si>
    <t>Шпатлёвка Ceresit IN 95</t>
  </si>
  <si>
    <t>№ ист</t>
  </si>
  <si>
    <t>Тип буровой установки</t>
  </si>
  <si>
    <t>n, кол-во ед. единов-но работающих</t>
  </si>
  <si>
    <t>z, кол-во пыли, выделяемое одним станком, г/ч</t>
  </si>
  <si>
    <r>
      <t xml:space="preserve">η, </t>
    </r>
    <r>
      <rPr>
        <sz val="11"/>
        <color theme="1"/>
        <rFont val="Times New Roman"/>
        <family val="1"/>
        <charset val="204"/>
      </rPr>
      <t>эффек-ть сис-мы пылеочистки, в долях</t>
    </r>
  </si>
  <si>
    <t>T, ч/год</t>
  </si>
  <si>
    <t>2026 г.</t>
  </si>
  <si>
    <t>Буровая установка Bauer BG28</t>
  </si>
  <si>
    <t>2027 г.</t>
  </si>
  <si>
    <t>Участок подачи извести и известняка (УПИиИ)</t>
  </si>
  <si>
    <t>Центральная аналитическая лаборатория (ЦАЛ)</t>
  </si>
  <si>
    <t>Устройство щебёночного слоя</t>
  </si>
  <si>
    <t>щебень</t>
  </si>
  <si>
    <t xml:space="preserve">Пересыпка клея для керамической плитки </t>
  </si>
  <si>
    <t>Холодная мастика на водостойких вяжущих</t>
  </si>
  <si>
    <t xml:space="preserve">Пересыпка сухой смеси </t>
  </si>
  <si>
    <t>Грунт-эмаль "АнтикорХИМ" на эпоксидной основе</t>
  </si>
  <si>
    <t>0,1</t>
  </si>
  <si>
    <t>Склад концентрата</t>
  </si>
  <si>
    <t>Устройство уплотнённого щебёночного основания</t>
  </si>
  <si>
    <t>Разработка грунта для опор</t>
  </si>
  <si>
    <t>Ремонтно-механическая мастерская (РММ)</t>
  </si>
  <si>
    <t>Устройство щебёночного основания</t>
  </si>
  <si>
    <t>щебень фр.20-40 мм</t>
  </si>
  <si>
    <t xml:space="preserve">Планировка верха земляного полотна, откосов насыпи, откосов выемки, откосов кюветов, дна кюветов, обочин </t>
  </si>
  <si>
    <t>Нарезка треугольных кюветов</t>
  </si>
  <si>
    <t>Устройство присыпных обочин</t>
  </si>
  <si>
    <t>Устройство двухслойного дорожного покрытия</t>
  </si>
  <si>
    <t>щебеночно-гравийные смеси</t>
  </si>
  <si>
    <t xml:space="preserve">Пересыпка клея для плитки </t>
  </si>
  <si>
    <t xml:space="preserve">клей </t>
  </si>
  <si>
    <t>плотность битума 1,3 т/м3</t>
  </si>
  <si>
    <t>Автовесовая</t>
  </si>
  <si>
    <t>Планировка верха земляного полотна, откосов насыпи, откосов выемки, откосов кюветов, дна кюветов</t>
  </si>
  <si>
    <t>Открытый склад оборудования и материалов и производственный склад (ОСОиМ и СП)</t>
  </si>
  <si>
    <t>Устройство уплотнённого щебёночного основания площадки открытого склада оборудования и материалов</t>
  </si>
  <si>
    <t>Обратная засыпка</t>
  </si>
  <si>
    <t>Склад химических реагентов (СХР)</t>
  </si>
  <si>
    <t>Склад извести и склад известняка</t>
  </si>
  <si>
    <t>штукатурная смесь</t>
  </si>
  <si>
    <t>Пересыпка штукатурной смеси</t>
  </si>
  <si>
    <t>Теплоэнергетический комплекс (ТЭК)</t>
  </si>
  <si>
    <t>Разработка выемки под фундамент</t>
  </si>
  <si>
    <t>Разработка грунта механизированным способом</t>
  </si>
  <si>
    <t>Разработка грунта вручную</t>
  </si>
  <si>
    <t xml:space="preserve">Разработка грунта </t>
  </si>
  <si>
    <t>Эмаль БТ-177 (серебрянка)</t>
  </si>
  <si>
    <t>Эмаль МА-0115</t>
  </si>
  <si>
    <t>Циклогексанон</t>
  </si>
  <si>
    <t>1411</t>
  </si>
  <si>
    <t>Эмаль КО-811</t>
  </si>
  <si>
    <t>Этиловый спирт</t>
  </si>
  <si>
    <t>1061</t>
  </si>
  <si>
    <t>Комплекс объектов инженерного обеспечения</t>
  </si>
  <si>
    <t>Разработка траншеи под трубопровод</t>
  </si>
  <si>
    <t xml:space="preserve">Разработка/выемка грунта </t>
  </si>
  <si>
    <t>Засыпка котлована КНС местным грунтом</t>
  </si>
  <si>
    <t xml:space="preserve">Устройство защитного слоя из местного грунта </t>
  </si>
  <si>
    <t>Устройство защитного слоя из местного грунта</t>
  </si>
  <si>
    <t xml:space="preserve">Крепление откосов и гребня крупнообломочным грунтом </t>
  </si>
  <si>
    <t>Аппарат клиной сварки для геомембраны</t>
  </si>
  <si>
    <t>Административно-бытовой комплекс</t>
  </si>
  <si>
    <t>щебень фракции 20-40 мм</t>
  </si>
  <si>
    <t>Склад горюче-смазочных материалов</t>
  </si>
  <si>
    <t xml:space="preserve"> грунт</t>
  </si>
  <si>
    <t>Комплекс объектов охранного и пожарного назначения</t>
  </si>
  <si>
    <t>Выемка грунта</t>
  </si>
  <si>
    <t>Буровая установка на базе Урал 4320</t>
  </si>
  <si>
    <t>Комплекс по производству сжатого воздуха и кислорода</t>
  </si>
  <si>
    <t>Устройство однослойного основания</t>
  </si>
  <si>
    <t>щебень фракции 40-70 мм</t>
  </si>
  <si>
    <t>Устройство подстилающего слоя</t>
  </si>
  <si>
    <t>Засыпка пазух котлована</t>
  </si>
  <si>
    <t>Рытье траншей для наружного контура заземления</t>
  </si>
  <si>
    <t>Засыпка траншей для наружного контура заземления</t>
  </si>
  <si>
    <t>Лак БТ-577</t>
  </si>
  <si>
    <t>Сольвент  каменноугольный</t>
  </si>
  <si>
    <t>Грунтовка битумно-полимерная ГТ-750ИН</t>
  </si>
  <si>
    <t>Грунт-эмаль ОС 12-03</t>
  </si>
  <si>
    <t>Внешние транспортные коммуникации (Автодороги Север, Юг)</t>
  </si>
  <si>
    <t>Устройство дорожного покрытия</t>
  </si>
  <si>
    <t>Укрепление обочин</t>
  </si>
  <si>
    <t>2029 г.</t>
  </si>
  <si>
    <t xml:space="preserve">Выравнивание площадки </t>
  </si>
  <si>
    <t>700101</t>
  </si>
  <si>
    <t>Итого по ист.700101:</t>
  </si>
  <si>
    <t>700102</t>
  </si>
  <si>
    <t>Итого по ист.700102:</t>
  </si>
  <si>
    <t>Итого по ист.700103:</t>
  </si>
  <si>
    <t>Итого по ист.7003:</t>
  </si>
  <si>
    <t>Бурение свай</t>
  </si>
  <si>
    <t>Пересыпка смеси MasterSeal 525 (цементная гидроизоляция)</t>
  </si>
  <si>
    <t>Альфапол ЭП-2Х</t>
  </si>
  <si>
    <t>Taikor Primer 150</t>
  </si>
  <si>
    <t>Полимерное покрытие</t>
  </si>
  <si>
    <t>Taikor Top 425</t>
  </si>
  <si>
    <t>Пересыпка штукатурки (Альфапол ПУ-4 и штукатурного раствора)</t>
  </si>
  <si>
    <t>Полиуретановая краска</t>
  </si>
  <si>
    <t>Элакор ПУ Эмаль</t>
  </si>
  <si>
    <t>Битумный праймер ТехноНИКОЛЬ №1</t>
  </si>
  <si>
    <t>Погрузка избытка грунта в автосамосвалы</t>
  </si>
  <si>
    <t>Альфапол ЭП-2Х, ЭП-1Г</t>
  </si>
  <si>
    <t>TAIKOR PRIMER 210</t>
  </si>
  <si>
    <t xml:space="preserve">Грунтовка 15% </t>
  </si>
  <si>
    <t>раствор ОС-12-03</t>
  </si>
  <si>
    <t xml:space="preserve">Грунтовой состав IN </t>
  </si>
  <si>
    <t>Грунт Интерьер</t>
  </si>
  <si>
    <t>плотность 1 кг/дм3</t>
  </si>
  <si>
    <t xml:space="preserve">Грунтовой состав </t>
  </si>
  <si>
    <t>КНАУФ-Тифенгруд</t>
  </si>
  <si>
    <t>финишная TAIKOR Top 425</t>
  </si>
  <si>
    <t xml:space="preserve">Эмаль финишная </t>
  </si>
  <si>
    <t>KINDUR UV полиуретановая</t>
  </si>
  <si>
    <t>ФЛ-03К</t>
  </si>
  <si>
    <t>Грунтовка антикоррозионная</t>
  </si>
  <si>
    <t xml:space="preserve">Эмаль термостойкая ХС-720 </t>
  </si>
  <si>
    <t xml:space="preserve">Краска огнезащитная </t>
  </si>
  <si>
    <t>1,0</t>
  </si>
  <si>
    <t xml:space="preserve">Краска акриловая </t>
  </si>
  <si>
    <t>Устройство фундамента</t>
  </si>
  <si>
    <t>щебень фракции 40-60 мм</t>
  </si>
  <si>
    <t>Битумная грунтовка</t>
  </si>
  <si>
    <t>2,5</t>
  </si>
  <si>
    <t>Наименование выделяющегося вещества</t>
  </si>
  <si>
    <t>Удельный выброс углеводородов, кг/т</t>
  </si>
  <si>
    <t>Объем битума, т/год</t>
  </si>
  <si>
    <t>Время работы, ч/год</t>
  </si>
  <si>
    <t>Выделения ЗВ</t>
  </si>
  <si>
    <t>Битумные работы (разогрев и нанесение)</t>
  </si>
  <si>
    <t xml:space="preserve">Битумные работы </t>
  </si>
  <si>
    <t xml:space="preserve">Антикоррозионная </t>
  </si>
  <si>
    <t xml:space="preserve">Огнезащит.покрытие </t>
  </si>
  <si>
    <t>«Силотерм ЭП-6»</t>
  </si>
  <si>
    <t>Транспортные работы</t>
  </si>
  <si>
    <t>7002</t>
  </si>
  <si>
    <t>Итого по ист.7002:</t>
  </si>
  <si>
    <t>Щебенистый грунт</t>
  </si>
  <si>
    <t>Пересыпка сыпучих и пылящих материалов</t>
  </si>
  <si>
    <t>Итого по ист.700401:</t>
  </si>
  <si>
    <t>700402</t>
  </si>
  <si>
    <t xml:space="preserve">Покрасочные работы </t>
  </si>
  <si>
    <t>Итого по ист.7005:</t>
  </si>
  <si>
    <t>Сварочные работы</t>
  </si>
  <si>
    <t>700601</t>
  </si>
  <si>
    <t xml:space="preserve">Сварочные работы, в том числе сварка полиэтиленовых труб </t>
  </si>
  <si>
    <t>Заправка техники топливозаправщиком</t>
  </si>
  <si>
    <t>Итого по ист.7010:</t>
  </si>
  <si>
    <t>0,7</t>
  </si>
  <si>
    <t>Итого по ист.7015:</t>
  </si>
  <si>
    <t>1,2</t>
  </si>
  <si>
    <t>Итого по ист.7026:</t>
  </si>
  <si>
    <t>Итого по ист.7027:</t>
  </si>
  <si>
    <t>2,0</t>
  </si>
  <si>
    <t>5,2</t>
  </si>
  <si>
    <t>3,8</t>
  </si>
  <si>
    <t>7,0</t>
  </si>
  <si>
    <t>1,8</t>
  </si>
  <si>
    <t>Буровые работы</t>
  </si>
  <si>
    <t>700901</t>
  </si>
  <si>
    <t>Итого по ист.700901:</t>
  </si>
  <si>
    <t>Итого по ист.700902:</t>
  </si>
  <si>
    <t>7010</t>
  </si>
  <si>
    <t>Итого по ист.7011:</t>
  </si>
  <si>
    <t>701201</t>
  </si>
  <si>
    <t>701401</t>
  </si>
  <si>
    <t>Итого по ист.701401:</t>
  </si>
  <si>
    <t>Итого по ист.701402:</t>
  </si>
  <si>
    <t>7015</t>
  </si>
  <si>
    <t>Итого по ист.7016:</t>
  </si>
  <si>
    <t>7017</t>
  </si>
  <si>
    <t>701901</t>
  </si>
  <si>
    <t>Итого по ист.701901:</t>
  </si>
  <si>
    <t>Итого по ист.701902:</t>
  </si>
  <si>
    <t>7020</t>
  </si>
  <si>
    <t>Итого по ист.7020:</t>
  </si>
  <si>
    <t>Итого по ист.7022:</t>
  </si>
  <si>
    <t>7023</t>
  </si>
  <si>
    <t>702501</t>
  </si>
  <si>
    <t>Итого по ист.702501:</t>
  </si>
  <si>
    <t>7026</t>
  </si>
  <si>
    <t>Итого по ист.7028:</t>
  </si>
  <si>
    <t>702901</t>
  </si>
  <si>
    <t>7032</t>
  </si>
  <si>
    <t>Итого по ист.7032:</t>
  </si>
  <si>
    <t>703301</t>
  </si>
  <si>
    <t>703601</t>
  </si>
  <si>
    <t>Итого по ист.703601:</t>
  </si>
  <si>
    <t>Итого по ист.703602:</t>
  </si>
  <si>
    <t>7037</t>
  </si>
  <si>
    <t>Итого по ист.7037:</t>
  </si>
  <si>
    <t>Итого по ист.7038:</t>
  </si>
  <si>
    <t>Итого по ист.7039:</t>
  </si>
  <si>
    <t>Этилцеллозольв</t>
  </si>
  <si>
    <t>1119</t>
  </si>
  <si>
    <t>704001</t>
  </si>
  <si>
    <t>Итого по ист.7043:</t>
  </si>
  <si>
    <t>7044</t>
  </si>
  <si>
    <t>Итого по ист.7044:</t>
  </si>
  <si>
    <t>704501</t>
  </si>
  <si>
    <t>704701</t>
  </si>
  <si>
    <t>Итого по ист.704701:</t>
  </si>
  <si>
    <t>Итого по ист.704703:</t>
  </si>
  <si>
    <t>Досыпка  грунта на откосы</t>
  </si>
  <si>
    <t>704702</t>
  </si>
  <si>
    <t>Итого по ист.704702:</t>
  </si>
  <si>
    <t>7048</t>
  </si>
  <si>
    <t>Итого по ист.7048:</t>
  </si>
  <si>
    <t>Итого по ист.7049:</t>
  </si>
  <si>
    <t>Итого по ист.7050:</t>
  </si>
  <si>
    <t>705101</t>
  </si>
  <si>
    <t>705401</t>
  </si>
  <si>
    <t>Итого по ист.705401:</t>
  </si>
  <si>
    <t>705402</t>
  </si>
  <si>
    <t>Итого по ист.705402:</t>
  </si>
  <si>
    <t>Итого по ист.705403:</t>
  </si>
  <si>
    <t>Досыпка грунта на откосы</t>
  </si>
  <si>
    <t>7055</t>
  </si>
  <si>
    <t>Итого по ист.7055:</t>
  </si>
  <si>
    <t>Итого по ист.705601:</t>
  </si>
  <si>
    <t>705602</t>
  </si>
  <si>
    <t>705701</t>
  </si>
  <si>
    <t>Итого по ист.705902:</t>
  </si>
  <si>
    <t>7060</t>
  </si>
  <si>
    <t>Итого по ист.7060:</t>
  </si>
  <si>
    <t>Итого по ист.7061:</t>
  </si>
  <si>
    <t>0,8</t>
  </si>
  <si>
    <t>3,5</t>
  </si>
  <si>
    <t>Итого по ист.7062:</t>
  </si>
  <si>
    <t>706301</t>
  </si>
  <si>
    <t>706601</t>
  </si>
  <si>
    <t>Итого по ист.706601:</t>
  </si>
  <si>
    <t>706602</t>
  </si>
  <si>
    <t>Итого по ист.706602:</t>
  </si>
  <si>
    <t>Итого по ист.706603:</t>
  </si>
  <si>
    <t>7067</t>
  </si>
  <si>
    <t>Итого по ист.7067:</t>
  </si>
  <si>
    <t>Итого по ист.706801:</t>
  </si>
  <si>
    <t>706802</t>
  </si>
  <si>
    <t>706901</t>
  </si>
  <si>
    <t>707101</t>
  </si>
  <si>
    <t>Итого по ист.707101:</t>
  </si>
  <si>
    <t>7072</t>
  </si>
  <si>
    <t>Итого по ист.7072:</t>
  </si>
  <si>
    <t>Итого по ист.7074:</t>
  </si>
  <si>
    <t>707501</t>
  </si>
  <si>
    <t>707701</t>
  </si>
  <si>
    <t>Итого по ист.707701:</t>
  </si>
  <si>
    <t>707702</t>
  </si>
  <si>
    <t>Итого по ист.707702:</t>
  </si>
  <si>
    <t>Итого по ист.707703:</t>
  </si>
  <si>
    <t>7078</t>
  </si>
  <si>
    <t>Итого по ист.7078:</t>
  </si>
  <si>
    <t>707902</t>
  </si>
  <si>
    <t>Итого по ист.7080:</t>
  </si>
  <si>
    <t>708101</t>
  </si>
  <si>
    <t>708401</t>
  </si>
  <si>
    <t>Итого по ист.708401:</t>
  </si>
  <si>
    <t>Итого по ист.708402:</t>
  </si>
  <si>
    <t>Итого по ист.708403:</t>
  </si>
  <si>
    <t>7085</t>
  </si>
  <si>
    <t>Итого по ист.7085:</t>
  </si>
  <si>
    <t>Крупнообломочный грунт</t>
  </si>
  <si>
    <t>7086</t>
  </si>
  <si>
    <t>Итого по ист.7086:</t>
  </si>
  <si>
    <t>708701</t>
  </si>
  <si>
    <t>708901</t>
  </si>
  <si>
    <t>Итого по ист.708901:</t>
  </si>
  <si>
    <t>708902</t>
  </si>
  <si>
    <t>Итого по ист.708902:</t>
  </si>
  <si>
    <t>Итого по ист.708903:</t>
  </si>
  <si>
    <t>7090</t>
  </si>
  <si>
    <t>Итого по ист.7090:</t>
  </si>
  <si>
    <t>709102</t>
  </si>
  <si>
    <t>7093</t>
  </si>
  <si>
    <t>Итого по ист.7093:</t>
  </si>
  <si>
    <t>709401</t>
  </si>
  <si>
    <t>Итого по ист.709602:</t>
  </si>
  <si>
    <t>Итого по ист.7104:</t>
  </si>
  <si>
    <t>Итого по ист.7108:</t>
  </si>
  <si>
    <t>7109</t>
  </si>
  <si>
    <t>Итого по ист.7109:</t>
  </si>
  <si>
    <t>7110</t>
  </si>
  <si>
    <t>Итого по ист.7110:</t>
  </si>
  <si>
    <t>защита (лак УР-231)</t>
  </si>
  <si>
    <t>5,5</t>
  </si>
  <si>
    <t>0,2</t>
  </si>
  <si>
    <t>711101</t>
  </si>
  <si>
    <t>711501</t>
  </si>
  <si>
    <t>Итого по ист.711501:</t>
  </si>
  <si>
    <t>711502</t>
  </si>
  <si>
    <t>Итого по ист.711502:</t>
  </si>
  <si>
    <t>Итого по ист.711503:</t>
  </si>
  <si>
    <t>7116</t>
  </si>
  <si>
    <t>Итого по ист.7116:</t>
  </si>
  <si>
    <t>Итого по ист.711701:</t>
  </si>
  <si>
    <t>711702</t>
  </si>
  <si>
    <t>7118</t>
  </si>
  <si>
    <t>площадь склада 20500 м2</t>
  </si>
  <si>
    <t xml:space="preserve">Хранение </t>
  </si>
  <si>
    <t>Тип транспортного средства (мощность двигателя)</t>
  </si>
  <si>
    <t>Категория машин</t>
  </si>
  <si>
    <t xml:space="preserve">Номинальная мощность 
Двигателя, кВт
</t>
  </si>
  <si>
    <t xml:space="preserve"> Nkl</t>
  </si>
  <si>
    <t xml:space="preserve"> Nk</t>
  </si>
  <si>
    <t>Tхm, мин</t>
  </si>
  <si>
    <t>Txs,  мин</t>
  </si>
  <si>
    <t>Tv1</t>
  </si>
  <si>
    <t>Tv2</t>
  </si>
  <si>
    <t>Tv1n</t>
  </si>
  <si>
    <t>ML, г/мин</t>
  </si>
  <si>
    <t>Tv2n</t>
  </si>
  <si>
    <t>А</t>
  </si>
  <si>
    <t>Dn</t>
  </si>
  <si>
    <t>Мхх, г/мин.</t>
  </si>
  <si>
    <t>М1</t>
  </si>
  <si>
    <t>М2</t>
  </si>
  <si>
    <t>Мi, т/период</t>
  </si>
  <si>
    <t>Т</t>
  </si>
  <si>
    <t>Х</t>
  </si>
  <si>
    <t>П</t>
  </si>
  <si>
    <t>Автотранспорт</t>
  </si>
  <si>
    <t>Каток</t>
  </si>
  <si>
    <t>61-100</t>
  </si>
  <si>
    <t>Bomag BW 213 D-40</t>
  </si>
  <si>
    <t>Серы диоксид</t>
  </si>
  <si>
    <t>Керосин</t>
  </si>
  <si>
    <t>2732</t>
  </si>
  <si>
    <t xml:space="preserve">Углерод </t>
  </si>
  <si>
    <t xml:space="preserve">Экскаватор </t>
  </si>
  <si>
    <t>101-160</t>
  </si>
  <si>
    <t>Komatsu PC200-8M0</t>
  </si>
  <si>
    <t>Автогрейдер</t>
  </si>
  <si>
    <t>XCMG GR165</t>
  </si>
  <si>
    <t>161-260</t>
  </si>
  <si>
    <t>Komatsu PC300-8</t>
  </si>
  <si>
    <t>Бульдозер</t>
  </si>
  <si>
    <t>Komatsu D85A-21</t>
  </si>
  <si>
    <t>свыше 260</t>
  </si>
  <si>
    <t>Komatsu D275A-5</t>
  </si>
  <si>
    <t>Автомобиль-самосвал</t>
  </si>
  <si>
    <t xml:space="preserve"> Isuzu</t>
  </si>
  <si>
    <t>КАМАЗ-65802 (S5)</t>
  </si>
  <si>
    <t>Вибротрамбовка</t>
  </si>
  <si>
    <t>до 20</t>
  </si>
  <si>
    <t xml:space="preserve">Dynapac LG200 грунтовая </t>
  </si>
  <si>
    <t>Кран автомобильный</t>
  </si>
  <si>
    <t>КС-35715</t>
  </si>
  <si>
    <t>Погрузчик</t>
  </si>
  <si>
    <t xml:space="preserve">Komatsu WA 420 </t>
  </si>
  <si>
    <t>Автомобиль</t>
  </si>
  <si>
    <t>SCANIA P-340</t>
  </si>
  <si>
    <t>Автомобиль - длинномер</t>
  </si>
  <si>
    <t>КАМАЗ 65116</t>
  </si>
  <si>
    <t>Автоманипулятор</t>
  </si>
  <si>
    <t>KANGLIM 1256G-II на шасси КАМАЗ 65117</t>
  </si>
  <si>
    <t>Топливозаправщик</t>
  </si>
  <si>
    <t>36-60</t>
  </si>
  <si>
    <t>УРАЛ 5881  (АТЗ-10)</t>
  </si>
  <si>
    <t>Копровая установка</t>
  </si>
  <si>
    <t>СП-49РН-14</t>
  </si>
  <si>
    <t>Кабелеукладчик</t>
  </si>
  <si>
    <t>на шасси Камаз 43118</t>
  </si>
  <si>
    <t>58147А на шасси Камаз 65115</t>
  </si>
  <si>
    <t>Автобетононасос</t>
  </si>
  <si>
    <t>Putzmeister M 46-5</t>
  </si>
  <si>
    <t>СБ-126А</t>
  </si>
  <si>
    <t>КС-55742</t>
  </si>
  <si>
    <t>КС-65715-1</t>
  </si>
  <si>
    <t>Liebherr LTM 1200-5.1</t>
  </si>
  <si>
    <t>Автовышка</t>
  </si>
  <si>
    <t>АГП HANSIN на КАМАЗ 43118-3027-48</t>
  </si>
  <si>
    <t>АГП ГАЗ 3309</t>
  </si>
  <si>
    <t>Автосамосвал</t>
  </si>
  <si>
    <t>КАМАЗ-6520</t>
  </si>
  <si>
    <t>Грунтовый виброкаток</t>
  </si>
  <si>
    <t>ДУ-85</t>
  </si>
  <si>
    <t>Автогудронатор</t>
  </si>
  <si>
    <t xml:space="preserve"> ДС-39Б</t>
  </si>
  <si>
    <t>Гладковальцовый каток</t>
  </si>
  <si>
    <t>ДУ-98</t>
  </si>
  <si>
    <t>Асфальтоукладчик</t>
  </si>
  <si>
    <t xml:space="preserve"> ДС-181</t>
  </si>
  <si>
    <t>Liebherr LTM 1100-5.1</t>
  </si>
  <si>
    <t>Кран гусеничный</t>
  </si>
  <si>
    <t>LIEBHERR LR-1600</t>
  </si>
  <si>
    <t>АГП-28 Урал 4320-1912-60Е5</t>
  </si>
  <si>
    <t>Погрузка со склада</t>
  </si>
  <si>
    <t>Итого по ист.7122:</t>
  </si>
  <si>
    <t>Список литературы:</t>
  </si>
  <si>
    <t>1. Методика расчета нормативов выбросов от неорганизованных источников. Астана, 2014 г.</t>
  </si>
  <si>
    <t xml:space="preserve">   Масса пыли, выделяющейся при разработке пород или отвалообразовании бульдозером, рассчитывается по формуле [1]:</t>
  </si>
  <si>
    <t xml:space="preserve">где   </t>
  </si>
  <si>
    <t>z – коэффициент пылеподавления;</t>
  </si>
  <si>
    <t xml:space="preserve">   Максимальный из разовых выброс вредных веществ при разработке пород или отвалообразовании бульдозером в карьере рассчитывается по формуле.</t>
  </si>
  <si>
    <t>Данные для расчета выбросов  и результаты расчета приведены в таблице 1.1.</t>
  </si>
  <si>
    <t xml:space="preserve">   Основными источниками загрязнения атмосферы вредными веществами на период проведения строительных работ будут являться:</t>
  </si>
  <si>
    <t>1. РАСЧЕТ ВЫБРОСОВ ЗАГРЯЗНЯЮЩИХ ВЕЩЕСТВ  ПРИ СТРОИТЕЛЬСТВЕ  КОМБИНАТА</t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</si>
  <si>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земляные работы (ист.7001);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</si>
  <si>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транспортные работы (ист.7002);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</si>
  <si>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пересыпка сыпучих и пылящих материалов (ист.7003);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</si>
  <si>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устройство асфальтобетонного покрытия (ист.7004);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</si>
  <si>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покрасочные работы (ист.7005);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</si>
  <si>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сварочные работы, в том числе сварка полиэтиленовых труб (ист.7006);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</si>
  <si>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буровые работы (ист.7007);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</si>
  <si>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заправка техники топливозаправщиком (ист.7008).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</si>
  <si>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Участок смешивания пульпы концентратов (УСПК):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</si>
  <si>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земляные работы (ист.7009);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</si>
  <si>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транспортные работы (ист.7010);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</si>
  <si>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покрасочные работы (ист.7011);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</si>
  <si>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сварочные работы, в том числе сварка полиэтиленовых труб (ист.7012);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</si>
  <si>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заправка техники топливозаправщиком (ист.7013).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</si>
  <si>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земляные работы (ист.7014);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</si>
  <si>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транспортные работы (ист.7015);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</si>
  <si>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покрасочные работы (ист.7016);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</si>
  <si>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сварочные работы (ист.7017);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</si>
  <si>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заправка техники топливозаправщиком (ист.7018).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</si>
  <si>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Участок вспомогательных процессов (УВП):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</si>
  <si>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земляные работы (ист.7019);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</si>
  <si>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транспортные работы (ист.7020);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</si>
  <si>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пересыпка сыпучих и пылящих материалов (ист.7021);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</si>
  <si>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покрасочные работы (ист.7022);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</si>
  <si>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сварочные работы (ист.7023);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</si>
  <si>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заправка техники топливозаправщиком (ист.7024).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</si>
  <si>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Корпус CIL: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</si>
  <si>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земляные работы (ист.7025);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</si>
  <si>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транспортные работы (ист.7026);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</si>
  <si>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пересыпка сыпучих и пылящих материалов (ист.7027);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</si>
  <si>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покрасочные работы (ист.7028);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</si>
  <si>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сварочные работы, в том числе сварка полиэтиленовых труб (ист.7029);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</si>
  <si>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заправка техники топливозаправщиком (ист.7031).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</si>
  <si>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Участок подачи извести и известняка (УПИиИ):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</si>
  <si>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транспортные работы (ист.7032);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</si>
  <si>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сварочные работы, в том числе сварка полиэтиленовых труб (ист.7033);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</si>
  <si>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заправка техники топливозаправщиком (ист.7035).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</si>
  <si>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Центральная аналитическая лаборатория (ЦАЛ):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</si>
  <si>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земляные работы (ист.7036);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</si>
  <si>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транспортные работы (ист.7037);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</si>
  <si>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пересыпка сыпучих и пылящих материалов (ист.7038);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</si>
  <si>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покрасочные работы (ист.7039);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</si>
  <si>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сварочные работы, в том числе сварка полиэтиленовых труб (ист.7040);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</si>
  <si>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заправка техники топливозаправщиком (ист.7042).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</si>
  <si>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Склад концентрата: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</si>
  <si>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земляные работы (ист.7043);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</si>
  <si>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транспортные работы (ист.7044);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</si>
  <si>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сварочные работы, в том числе сварка полиэтиленовых труб (ист.7045);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</si>
  <si>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заправка техники топливозаправщиком (ист.7046).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</si>
  <si>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Ремонтно-механическая мастерская (РММ):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</si>
  <si>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земляные работы (ист.7047);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</si>
  <si>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транспортные работы (ист.7048);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</si>
  <si>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пересыпка сыпучих и пылящих материалов (ист.7049);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</si>
  <si>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покрасочные работы (ист.7050);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</si>
  <si>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сварочные работы, в том числе сварка полиэтиленовых труб (ист.7051);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</si>
  <si>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заправка техники топливозаправщиком (ист.7053).</t>
    </r>
  </si>
  <si>
    <r>
      <t>·</t>
    </r>
    <r>
      <rPr>
        <sz val="7"/>
        <color theme="1"/>
        <rFont val="Times New Roman"/>
        <family val="1"/>
        <charset val="204"/>
      </rPr>
      <t xml:space="preserve">      </t>
    </r>
    <r>
      <rPr>
        <i/>
        <u/>
        <sz val="14"/>
        <color theme="1"/>
        <rFont val="Times New Roman"/>
        <family val="1"/>
        <charset val="204"/>
      </rPr>
      <t>Автовесовая: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</si>
  <si>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земляные работы (ист.7054);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</si>
  <si>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транспортные работы (ист.7055);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</si>
  <si>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устройство асфальтобетонного покрытия (ист.7056);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</si>
  <si>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сварочные работы, в том числе сварка полиэтиленовых труб (ист.7057);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</si>
  <si>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заправка техники топливозаправщиком (ист.7058).</t>
    </r>
  </si>
  <si>
    <r>
      <t>·</t>
    </r>
    <r>
      <rPr>
        <sz val="7"/>
        <color theme="1"/>
        <rFont val="Times New Roman"/>
        <family val="1"/>
        <charset val="204"/>
      </rPr>
      <t xml:space="preserve">      </t>
    </r>
    <r>
      <rPr>
        <i/>
        <u/>
        <sz val="14"/>
        <color theme="1"/>
        <rFont val="Times New Roman"/>
        <family val="1"/>
        <charset val="204"/>
      </rPr>
      <t>Открытый склад оборудования и материалов, Склад производственный (ОСОиМ и СП):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</si>
  <si>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земляные работы (ист.7059);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</si>
  <si>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транспортные работы (ист.7060);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</si>
  <si>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пересыпка сыпучих и пылящих материалов (ист.7061);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</si>
  <si>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покрасочные работы (ист.7062);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</si>
  <si>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сварочные работы, в том числе сварка полиэтиленовых труб (ист.7063);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</si>
  <si>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заправка техники топливозаправщиком (ист.7065).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</si>
  <si>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Склад химических реагентов (СХР):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</si>
  <si>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земляные работы (ист.7066);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</si>
  <si>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транспортные работы (ист.7067);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</si>
  <si>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устройство асфальтобетонного покрытия (ист.7068);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</si>
  <si>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сварочные работы, в том числе сварка полиэтиленовых труб (ист.7069);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</si>
  <si>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заправка техники топливозаправщиком (ист.7070).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</si>
  <si>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Склад извести и склад известняка:</t>
    </r>
  </si>
  <si>
    <r>
      <t>Ø</t>
    </r>
    <r>
      <rPr>
        <sz val="7"/>
        <color rgb="FF000000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земляные работы (ист.7071);</t>
    </r>
  </si>
  <si>
    <r>
      <t>Ø</t>
    </r>
    <r>
      <rPr>
        <sz val="7"/>
        <color rgb="FF000000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транспортные работы (ист.7072);</t>
    </r>
  </si>
  <si>
    <r>
      <t>Ø</t>
    </r>
    <r>
      <rPr>
        <sz val="7"/>
        <color rgb="FF000000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пересыпка сыпучих и пылящих материалов (ист.7073);</t>
    </r>
  </si>
  <si>
    <r>
      <t>Ø</t>
    </r>
    <r>
      <rPr>
        <sz val="7"/>
        <color rgb="FF000000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покрасочные работы (ист.7074);</t>
    </r>
  </si>
  <si>
    <r>
      <t>Ø</t>
    </r>
    <r>
      <rPr>
        <sz val="7"/>
        <color rgb="FF000000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сварочные работы, в том числе сварка полиэтиленовых труб (ист.7075);</t>
    </r>
  </si>
  <si>
    <r>
      <t>Ø</t>
    </r>
    <r>
      <rPr>
        <sz val="7"/>
        <color rgb="FF000000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заправка техники топливозаправщиком (ист.7076).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</si>
  <si>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 </t>
    </r>
    <r>
      <rPr>
        <i/>
        <u/>
        <sz val="14"/>
        <color rgb="FF000000"/>
        <rFont val="Times New Roman"/>
        <family val="1"/>
        <charset val="204"/>
      </rPr>
      <t>Теплоэнергетический комплекс (ТЭК):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</si>
  <si>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земляные работы (ист.7077);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</si>
  <si>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транспортные работы (ист.7078);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</si>
  <si>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устройство асфальтобетонного покрытия (ист.7079);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</si>
  <si>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покрасочные работы (ист.7080);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</si>
  <si>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сварочные работы, в том числе сварка полиэтиленовых труб (ист.7081);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</si>
  <si>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заправка техники топливозаправщиком (ист.7083).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</si>
  <si>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земляные работы (ист.7084);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</si>
  <si>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транспортные работы (ист.7085);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</si>
  <si>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покрасочные работы (ист.7086);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</si>
  <si>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сварочные работы, в том числе сварка полиэтиленовых труб (ист.7087);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</si>
  <si>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заправка техники топливозаправщиком (ист.7088).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</si>
  <si>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земляные работы (ист.7089);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</si>
  <si>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транспортные работы (ист.7090);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</si>
  <si>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устройство асфальтобетонного покрытия (ист.7091);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</si>
  <si>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пересыпка сыпучих и пылящих материалов (ист.7092);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</si>
  <si>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покрасочные работы (ист.7093);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</si>
  <si>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сварочные работы, в том числе сварка полиэтиленовых труб (ист.7094);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</si>
  <si>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заправка техники топливозаправщиком (ист.7095).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</si>
  <si>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Склад горюче-смазочных материалов (ГСМ):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</si>
  <si>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земляные работы (ист.7096);</t>
    </r>
  </si>
  <si>
    <r>
      <t>Ø</t>
    </r>
    <r>
      <rPr>
        <sz val="7"/>
        <color rgb="FF000000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буровые работы (ист.7106);</t>
    </r>
  </si>
  <si>
    <r>
      <t>Ø</t>
    </r>
    <r>
      <rPr>
        <sz val="7"/>
        <color rgb="FF000000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заправка техники топливозаправщиком (ист.7107).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</si>
  <si>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земляные работы (ист.7108);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</si>
  <si>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транспортные работы (ист.7109);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</si>
  <si>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покрасочные работы (ист.7110);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</si>
  <si>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сварочные работы, в том числе сварка полиэтиленовых труб (ист.7111);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</si>
  <si>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битумные работы (ист.7113);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</si>
  <si>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заправка техники топливозаправщиком (ист.7114).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</si>
  <si>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Внешние транспортные коммуникации (Автодороги Север, Юг):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</si>
  <si>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земляные работы (ист.7115);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</si>
  <si>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транспортные работы (ист.7116);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</si>
  <si>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устройство асфальтобетонного покрытия (ист.7117);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</si>
  <si>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сварочные работы (ист.7118);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</si>
  <si>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буровые работы (ист.7119);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</si>
  <si>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заправка техники топливозаправщиком (ист.7120).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</si>
  <si>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ДЭС-30 кВт ЯМЗ Д-246 (РФ) (ист.1001).</t>
    </r>
  </si>
  <si>
    <t>Данные для расчета выбросов  и результаты расчета приведены в таблице 1.2.</t>
  </si>
  <si>
    <t>Выброс неорганической пыли при транспортных работах определяется по формуле [1]:</t>
  </si>
  <si>
    <t>Мсек = С1 х С2 х С3 х N х L x q1 x C6 x C7 / 3600 + С4 х С5 х С6 x Fo x n, г/с</t>
  </si>
  <si>
    <t>При определении выбросов в т/год используется выражение:</t>
  </si>
  <si>
    <t>Мг = 3,6 х Q х Т / 1000, т/год</t>
  </si>
  <si>
    <t>где:</t>
  </si>
  <si>
    <t>С1 – коэффициент, учитывающий среднюю грузоподъемность транспорта (табл.9) [1];</t>
  </si>
  <si>
    <t>C2 – коэффициент, учитывающий среднюю скорость транспорта (табл.10) [1];</t>
  </si>
  <si>
    <t>C3 – коэффициент, учитывающий состояние дорог (табл.11) [1];</t>
  </si>
  <si>
    <t>Fфакт.- фактическая площадь поверхность материала на платформе, м2;</t>
  </si>
  <si>
    <t>F0 – средняя площадь платформы, м2</t>
  </si>
  <si>
    <t>Значение С4 колеблется в пределах 1,3-1,6 в зависимости от крупности материала и степени заполнения платформы;</t>
  </si>
  <si>
    <t>С6 – коэффициент, учитывающий влажность поверхностного слоя материала, равный С6= k5 и принимаемый в соответствии с таблицей 4 [1];</t>
  </si>
  <si>
    <t>N – число ходок (туда и обратно) всего транспорта в час;</t>
  </si>
  <si>
    <t>L – среднее расстояние транспортировки в пределах карьера, км;</t>
  </si>
  <si>
    <t>С5 – коэффициент, учитывающий скорость обдува (Vоб) материала (табл.12) [1],</t>
  </si>
  <si>
    <t>q1 – пылевыделение в атмосферу на 1 км пробега при С1, С2, С3=1, принимается равным 1450 г/км;</t>
  </si>
  <si>
    <t>q’ – пылевыделение с единицы фактической поверхности материала на платформе, г/м2хс (табл.6) [1];</t>
  </si>
  <si>
    <t>n – число автомашин, работающих в карьере;</t>
  </si>
  <si>
    <t>С7 – коэффициент, учитывающий долю пыли, уносимой в атмосферу и равный 0,01;</t>
  </si>
  <si>
    <t>Т - время работы источника в году (автотранспорта).</t>
  </si>
  <si>
    <t>Данные для расчета выбросов и результаты расчета приведены в таблице 1.3.</t>
  </si>
  <si>
    <t xml:space="preserve">Максимально-разовый выброс определяется согласно [1]: </t>
  </si>
  <si>
    <t>Мсек = К1 х K2 х K3 х K4 х K5 х K7 х G х 106 х B/ 3600, г/с</t>
  </si>
  <si>
    <t>Валовый выброс при пересыпке определяется  [1]:</t>
  </si>
  <si>
    <t>Мгод = К1 х К2 х К3 х К4 х К5 х К7 х G1 х В/, т/год</t>
  </si>
  <si>
    <t>k1 – весовая доля пылевой фракции в материале. Определяется путем отмывки и просева средней пробы с выделением фракции пыли размером 0-200 мкм соответствии с табл. 1 [1];</t>
  </si>
  <si>
    <t>k2 – доля пыли (от всей массы пыли), переходящая в аэрозоль соответствии с табл. 1 [1];</t>
  </si>
  <si>
    <t>k3 – коэффициент, учитывающий местные метеоусловия и принимаемый в соответствии с табл. 2 [1];</t>
  </si>
  <si>
    <t>k4 – коэффициент, учитывающий местные условия, степень защищенности узла от внешних воздействий, условия пылеобразования. Данные приведены в табл. 3 [1];</t>
  </si>
  <si>
    <t>k5 – коэффициент, учитывающий влажность материала и принимаемый в соответствии с данными табл. 4 [1];</t>
  </si>
  <si>
    <t>k7 – коэффициент, учитывающий крупность материала и принимаемый в соответствии с табл. 5 [1];</t>
  </si>
  <si>
    <t>G – суммарное количество перерабатываемого материала, т/ч;</t>
  </si>
  <si>
    <t>В' – коэффициент, учитывающий высоту пересыпки и принимаемый в соответствии с табл.7 [1]. Склады и хвостохранилища рассматриваются как равномерно распределенные источники пылевыделения.</t>
  </si>
  <si>
    <t xml:space="preserve"> G1 – суммарное количество перерабатываемого материала, т/год. </t>
  </si>
  <si>
    <t>Наимено-вание материала</t>
  </si>
  <si>
    <t>1.3. Расчет выбросов загрязняющих веществ при земляных работах</t>
  </si>
  <si>
    <t>Таблица 1.3- Выбросы пыли в процессе проведения земляных работ</t>
  </si>
  <si>
    <t>Данные для расчета выбросов и результаты расчета приведены в таблице 1.4.</t>
  </si>
  <si>
    <t>Таблица 1.4 - Выбросы пыли при автотранспортных работах</t>
  </si>
  <si>
    <t>1.4. Расчет выбросов загрязняющих веществ при транспортных работах</t>
  </si>
  <si>
    <t>Данные для расчета выбросов и результаты расчета приведены в таблице 1.5.</t>
  </si>
  <si>
    <t>Таблица 1.5- Пересыпка сыпучих и пылящих материалов</t>
  </si>
  <si>
    <t>Таблица 1.6 Результат расчета выбросов загрязняющих веществ при укладке асфальтобетона</t>
  </si>
  <si>
    <t>Таблица 1.7  Результаты расчетов  выбросов ЗВ  при проведении покрасочных работ</t>
  </si>
  <si>
    <t xml:space="preserve">         1. Валовый выброс нелетучей (сухой) части аэрозоля краски, образующегося при нанесении ЛКМ на поверхность изделия, определяется по формуле [1]:</t>
  </si>
  <si>
    <t xml:space="preserve">          Максимальный разовый выброс нелетучей (сухой) части аэрозоля краски, образующийся при нанесении ЛКМ на поверхность изделия, определяется по формуле:</t>
  </si>
  <si>
    <t xml:space="preserve">          2. Валовый выброс индивидуальных летучих компонентов ЛКМ при окраске рассчитывается по формулам:</t>
  </si>
  <si>
    <t xml:space="preserve">          Валовый выброс индивидуальных летучих компонентов ЛКМ при сушке рассчитывается по формуле:</t>
  </si>
  <si>
    <t xml:space="preserve">         Максимальный разовый выброс индивидуальных летучих компонентов ЛКМ при сушке рассчитывается по формуле:</t>
  </si>
  <si>
    <t xml:space="preserve">          Общий валовый или максимальный разовый выброс по каждому компоненту летучей части ЛКМ рассчитывается по формуле:</t>
  </si>
  <si>
    <t>ИЗ</t>
  </si>
  <si>
    <t xml:space="preserve">Список литературы:  </t>
  </si>
  <si>
    <t>1. Методика расчета выбросов загрязняющих веществ в атмосферу при нанесении лакокрасочных материалов (по величинам удельных выбросов). РНД 211.2.02.05-2004. – Астана 2004.</t>
  </si>
  <si>
    <r>
      <t>m</t>
    </r>
    <r>
      <rPr>
        <vertAlign val="subscript"/>
        <sz val="12"/>
        <color theme="1"/>
        <rFont val="Times New Roman"/>
        <family val="1"/>
        <charset val="204"/>
      </rPr>
      <t>м</t>
    </r>
    <r>
      <rPr>
        <sz val="12"/>
        <color theme="1"/>
        <rFont val="Times New Roman"/>
        <family val="1"/>
        <charset val="204"/>
      </rPr>
      <t xml:space="preserve"> – фактический максимальный часовой расход ЛКМ, с учетом дискретности работы оборудования, кг/ч. При отсутствии этих данных допускается использовать максимальную паспортную производительность.</t>
    </r>
  </si>
  <si>
    <t>fр – доля летучей части (растворителя) в ЛКМ, (% мас.), табл.2 [1];</t>
  </si>
  <si>
    <r>
      <t>m</t>
    </r>
    <r>
      <rPr>
        <vertAlign val="subscript"/>
        <sz val="12"/>
        <color theme="1"/>
        <rFont val="Times New Roman"/>
        <family val="1"/>
        <charset val="204"/>
      </rPr>
      <t>ф</t>
    </r>
    <r>
      <rPr>
        <sz val="12"/>
        <color theme="1"/>
        <rFont val="Times New Roman"/>
        <family val="1"/>
        <charset val="204"/>
      </rPr>
      <t xml:space="preserve"> – фактический годовой расход ЛКМ, т;</t>
    </r>
  </si>
  <si>
    <r>
      <t>δ</t>
    </r>
    <r>
      <rPr>
        <vertAlign val="subscript"/>
        <sz val="12"/>
        <color theme="1"/>
        <rFont val="Times New Roman"/>
        <family val="1"/>
        <charset val="204"/>
      </rPr>
      <t>а</t>
    </r>
    <r>
      <rPr>
        <sz val="12"/>
        <color theme="1"/>
        <rFont val="Times New Roman"/>
        <family val="1"/>
        <charset val="204"/>
      </rPr>
      <t xml:space="preserve"> – доля краски, потерянной в виде аэрозоля (% мас.), табл.3 [1];</t>
    </r>
  </si>
  <si>
    <r>
      <t xml:space="preserve">            где δ</t>
    </r>
    <r>
      <rPr>
        <vertAlign val="subscript"/>
        <sz val="10"/>
        <color theme="1"/>
        <rFont val="Times New Roman"/>
        <family val="1"/>
        <charset val="204"/>
      </rPr>
      <t>р</t>
    </r>
    <r>
      <rPr>
        <vertAlign val="superscript"/>
        <sz val="10"/>
        <color theme="1"/>
        <rFont val="Times New Roman"/>
        <family val="1"/>
        <charset val="204"/>
      </rPr>
      <t>, ,</t>
    </r>
    <r>
      <rPr>
        <sz val="10"/>
        <color theme="1"/>
        <rFont val="Times New Roman"/>
        <family val="1"/>
        <charset val="204"/>
      </rPr>
      <t xml:space="preserve"> – доля растворителя в ЛКМ, выделявшегося при сушке покрытия, (% мас.), табл.3 [1].</t>
    </r>
  </si>
  <si>
    <r>
      <t>М</t>
    </r>
    <r>
      <rPr>
        <b/>
        <vertAlign val="superscript"/>
        <sz val="12"/>
        <color theme="1"/>
        <rFont val="Times New Roman"/>
        <family val="1"/>
        <charset val="204"/>
      </rPr>
      <t>х</t>
    </r>
    <r>
      <rPr>
        <b/>
        <vertAlign val="subscript"/>
        <sz val="12"/>
        <color theme="1"/>
        <rFont val="Times New Roman"/>
        <family val="1"/>
        <charset val="204"/>
      </rPr>
      <t>суш</t>
    </r>
    <r>
      <rPr>
        <b/>
        <sz val="12"/>
        <color theme="1"/>
        <rFont val="Times New Roman"/>
        <family val="1"/>
        <charset val="204"/>
      </rPr>
      <t xml:space="preserve"> = m</t>
    </r>
    <r>
      <rPr>
        <b/>
        <vertAlign val="subscript"/>
        <sz val="12"/>
        <color theme="1"/>
        <rFont val="Times New Roman"/>
        <family val="1"/>
        <charset val="204"/>
      </rPr>
      <t>м</t>
    </r>
    <r>
      <rPr>
        <b/>
        <sz val="12"/>
        <color theme="1"/>
        <rFont val="Times New Roman"/>
        <family val="1"/>
        <charset val="204"/>
      </rPr>
      <t xml:space="preserve"> х f</t>
    </r>
    <r>
      <rPr>
        <b/>
        <vertAlign val="subscript"/>
        <sz val="12"/>
        <color theme="1"/>
        <rFont val="Times New Roman"/>
        <family val="1"/>
        <charset val="204"/>
      </rPr>
      <t>р</t>
    </r>
    <r>
      <rPr>
        <b/>
        <sz val="12"/>
        <color theme="1"/>
        <rFont val="Times New Roman"/>
        <family val="1"/>
        <charset val="204"/>
      </rPr>
      <t xml:space="preserve"> х δ</t>
    </r>
    <r>
      <rPr>
        <b/>
        <vertAlign val="subscript"/>
        <sz val="12"/>
        <color theme="1"/>
        <rFont val="Times New Roman"/>
        <family val="1"/>
        <charset val="204"/>
      </rPr>
      <t>р</t>
    </r>
    <r>
      <rPr>
        <b/>
        <vertAlign val="superscript"/>
        <sz val="12"/>
        <color theme="1"/>
        <rFont val="Times New Roman"/>
        <family val="1"/>
        <charset val="204"/>
      </rPr>
      <t>, ,</t>
    </r>
    <r>
      <rPr>
        <b/>
        <sz val="12"/>
        <color theme="1"/>
        <rFont val="Times New Roman"/>
        <family val="1"/>
        <charset val="204"/>
      </rPr>
      <t xml:space="preserve"> х δ</t>
    </r>
    <r>
      <rPr>
        <b/>
        <vertAlign val="subscript"/>
        <sz val="12"/>
        <color theme="1"/>
        <rFont val="Times New Roman"/>
        <family val="1"/>
        <charset val="204"/>
      </rPr>
      <t>х</t>
    </r>
    <r>
      <rPr>
        <b/>
        <sz val="12"/>
        <color theme="1"/>
        <rFont val="Times New Roman"/>
        <family val="1"/>
        <charset val="204"/>
      </rPr>
      <t xml:space="preserve"> х 10</t>
    </r>
    <r>
      <rPr>
        <b/>
        <vertAlign val="superscript"/>
        <sz val="12"/>
        <color theme="1"/>
        <rFont val="Times New Roman"/>
        <family val="1"/>
        <charset val="204"/>
      </rPr>
      <t>-6</t>
    </r>
    <r>
      <rPr>
        <b/>
        <sz val="12"/>
        <color theme="1"/>
        <rFont val="Times New Roman"/>
        <family val="1"/>
        <charset val="204"/>
      </rPr>
      <t>/3,6 х (1 - η), г/с</t>
    </r>
  </si>
  <si>
    <t>η - степень очистки воздуха газоочистным оборудованием (в долях единицы).</t>
  </si>
  <si>
    <r>
      <t>М</t>
    </r>
    <r>
      <rPr>
        <b/>
        <vertAlign val="superscript"/>
        <sz val="14"/>
        <color theme="1"/>
        <rFont val="Times New Roman"/>
        <family val="1"/>
        <charset val="204"/>
      </rPr>
      <t>а</t>
    </r>
    <r>
      <rPr>
        <b/>
        <vertAlign val="subscript"/>
        <sz val="14"/>
        <color theme="1"/>
        <rFont val="Times New Roman"/>
        <family val="1"/>
        <charset val="204"/>
      </rPr>
      <t>н.окр</t>
    </r>
    <r>
      <rPr>
        <b/>
        <sz val="14"/>
        <color theme="1"/>
        <rFont val="Times New Roman"/>
        <family val="1"/>
        <charset val="204"/>
      </rPr>
      <t xml:space="preserve"> = m</t>
    </r>
    <r>
      <rPr>
        <b/>
        <vertAlign val="subscript"/>
        <sz val="14"/>
        <color theme="1"/>
        <rFont val="Times New Roman"/>
        <family val="1"/>
        <charset val="204"/>
      </rPr>
      <t>м</t>
    </r>
    <r>
      <rPr>
        <b/>
        <sz val="14"/>
        <color theme="1"/>
        <rFont val="Times New Roman"/>
        <family val="1"/>
        <charset val="204"/>
      </rPr>
      <t xml:space="preserve"> х δ</t>
    </r>
    <r>
      <rPr>
        <b/>
        <vertAlign val="subscript"/>
        <sz val="14"/>
        <color theme="1"/>
        <rFont val="Times New Roman"/>
        <family val="1"/>
        <charset val="204"/>
      </rPr>
      <t>а</t>
    </r>
    <r>
      <rPr>
        <b/>
        <sz val="14"/>
        <color theme="1"/>
        <rFont val="Times New Roman"/>
        <family val="1"/>
        <charset val="204"/>
      </rPr>
      <t xml:space="preserve"> х (100-f</t>
    </r>
    <r>
      <rPr>
        <b/>
        <vertAlign val="subscript"/>
        <sz val="14"/>
        <color theme="1"/>
        <rFont val="Times New Roman"/>
        <family val="1"/>
        <charset val="204"/>
      </rPr>
      <t>р</t>
    </r>
    <r>
      <rPr>
        <b/>
        <sz val="14"/>
        <color theme="1"/>
        <rFont val="Times New Roman"/>
        <family val="1"/>
        <charset val="204"/>
      </rPr>
      <t>) х 10</t>
    </r>
    <r>
      <rPr>
        <b/>
        <vertAlign val="superscript"/>
        <sz val="14"/>
        <color theme="1"/>
        <rFont val="Times New Roman"/>
        <family val="1"/>
        <charset val="204"/>
      </rPr>
      <t>-4</t>
    </r>
    <r>
      <rPr>
        <b/>
        <sz val="14"/>
        <color theme="1"/>
        <rFont val="Times New Roman"/>
        <family val="1"/>
        <charset val="204"/>
      </rPr>
      <t xml:space="preserve"> / 3,6 х (1-η), г/с</t>
    </r>
  </si>
  <si>
    <r>
      <t>М</t>
    </r>
    <r>
      <rPr>
        <b/>
        <vertAlign val="superscript"/>
        <sz val="14"/>
        <color theme="1"/>
        <rFont val="Times New Roman"/>
        <family val="1"/>
        <charset val="204"/>
      </rPr>
      <t>а</t>
    </r>
    <r>
      <rPr>
        <b/>
        <vertAlign val="subscript"/>
        <sz val="14"/>
        <color theme="1"/>
        <rFont val="Times New Roman"/>
        <family val="1"/>
        <charset val="204"/>
      </rPr>
      <t>н.окр</t>
    </r>
    <r>
      <rPr>
        <b/>
        <sz val="14"/>
        <color theme="1"/>
        <rFont val="Times New Roman"/>
        <family val="1"/>
        <charset val="204"/>
      </rPr>
      <t xml:space="preserve"> = m</t>
    </r>
    <r>
      <rPr>
        <b/>
        <vertAlign val="subscript"/>
        <sz val="14"/>
        <color theme="1"/>
        <rFont val="Times New Roman"/>
        <family val="1"/>
        <charset val="204"/>
      </rPr>
      <t>ф</t>
    </r>
    <r>
      <rPr>
        <b/>
        <sz val="14"/>
        <color theme="1"/>
        <rFont val="Times New Roman"/>
        <family val="1"/>
        <charset val="204"/>
      </rPr>
      <t xml:space="preserve"> х δ</t>
    </r>
    <r>
      <rPr>
        <b/>
        <vertAlign val="subscript"/>
        <sz val="14"/>
        <color theme="1"/>
        <rFont val="Times New Roman"/>
        <family val="1"/>
        <charset val="204"/>
      </rPr>
      <t>а</t>
    </r>
    <r>
      <rPr>
        <b/>
        <sz val="14"/>
        <color theme="1"/>
        <rFont val="Times New Roman"/>
        <family val="1"/>
        <charset val="204"/>
      </rPr>
      <t xml:space="preserve"> х (100-f</t>
    </r>
    <r>
      <rPr>
        <b/>
        <vertAlign val="subscript"/>
        <sz val="14"/>
        <color theme="1"/>
        <rFont val="Times New Roman"/>
        <family val="1"/>
        <charset val="204"/>
      </rPr>
      <t>р</t>
    </r>
    <r>
      <rPr>
        <b/>
        <sz val="14"/>
        <color theme="1"/>
        <rFont val="Times New Roman"/>
        <family val="1"/>
        <charset val="204"/>
      </rPr>
      <t>) х 10</t>
    </r>
    <r>
      <rPr>
        <b/>
        <vertAlign val="superscript"/>
        <sz val="14"/>
        <color theme="1"/>
        <rFont val="Times New Roman"/>
        <family val="1"/>
        <charset val="204"/>
      </rPr>
      <t>-4</t>
    </r>
    <r>
      <rPr>
        <b/>
        <sz val="14"/>
        <color theme="1"/>
        <rFont val="Times New Roman"/>
        <family val="1"/>
        <charset val="204"/>
      </rPr>
      <t xml:space="preserve"> х (1-η), т/год</t>
    </r>
  </si>
  <si>
    <r>
      <t>М</t>
    </r>
    <r>
      <rPr>
        <b/>
        <vertAlign val="superscript"/>
        <sz val="14"/>
        <color theme="1"/>
        <rFont val="Times New Roman"/>
        <family val="1"/>
        <charset val="204"/>
      </rPr>
      <t>х</t>
    </r>
    <r>
      <rPr>
        <b/>
        <vertAlign val="subscript"/>
        <sz val="14"/>
        <color theme="1"/>
        <rFont val="Times New Roman"/>
        <family val="1"/>
        <charset val="204"/>
      </rPr>
      <t>окр</t>
    </r>
    <r>
      <rPr>
        <b/>
        <sz val="14"/>
        <color theme="1"/>
        <rFont val="Times New Roman"/>
        <family val="1"/>
        <charset val="204"/>
      </rPr>
      <t xml:space="preserve"> = m</t>
    </r>
    <r>
      <rPr>
        <b/>
        <vertAlign val="subscript"/>
        <sz val="14"/>
        <color theme="1"/>
        <rFont val="Times New Roman"/>
        <family val="1"/>
        <charset val="204"/>
      </rPr>
      <t>ф</t>
    </r>
    <r>
      <rPr>
        <b/>
        <sz val="14"/>
        <color theme="1"/>
        <rFont val="Times New Roman"/>
        <family val="1"/>
        <charset val="204"/>
      </rPr>
      <t xml:space="preserve"> х f</t>
    </r>
    <r>
      <rPr>
        <b/>
        <vertAlign val="subscript"/>
        <sz val="14"/>
        <color theme="1"/>
        <rFont val="Times New Roman"/>
        <family val="1"/>
        <charset val="204"/>
      </rPr>
      <t>р</t>
    </r>
    <r>
      <rPr>
        <b/>
        <sz val="14"/>
        <color theme="1"/>
        <rFont val="Times New Roman"/>
        <family val="1"/>
        <charset val="204"/>
      </rPr>
      <t xml:space="preserve"> х δ</t>
    </r>
    <r>
      <rPr>
        <b/>
        <vertAlign val="subscript"/>
        <sz val="14"/>
        <color theme="1"/>
        <rFont val="Times New Roman"/>
        <family val="1"/>
        <charset val="204"/>
      </rPr>
      <t>р</t>
    </r>
    <r>
      <rPr>
        <b/>
        <vertAlign val="superscript"/>
        <sz val="14"/>
        <color theme="1"/>
        <rFont val="Times New Roman"/>
        <family val="1"/>
        <charset val="204"/>
      </rPr>
      <t>,</t>
    </r>
    <r>
      <rPr>
        <b/>
        <sz val="14"/>
        <color theme="1"/>
        <rFont val="Times New Roman"/>
        <family val="1"/>
        <charset val="204"/>
      </rPr>
      <t xml:space="preserve"> х δ</t>
    </r>
    <r>
      <rPr>
        <b/>
        <vertAlign val="subscript"/>
        <sz val="14"/>
        <color theme="1"/>
        <rFont val="Times New Roman"/>
        <family val="1"/>
        <charset val="204"/>
      </rPr>
      <t>х</t>
    </r>
    <r>
      <rPr>
        <b/>
        <sz val="14"/>
        <color theme="1"/>
        <rFont val="Times New Roman"/>
        <family val="1"/>
        <charset val="204"/>
      </rPr>
      <t xml:space="preserve"> х 10</t>
    </r>
    <r>
      <rPr>
        <b/>
        <vertAlign val="superscript"/>
        <sz val="14"/>
        <color theme="1"/>
        <rFont val="Times New Roman"/>
        <family val="1"/>
        <charset val="204"/>
      </rPr>
      <t>-6</t>
    </r>
    <r>
      <rPr>
        <b/>
        <sz val="14"/>
        <color theme="1"/>
        <rFont val="Times New Roman"/>
        <family val="1"/>
        <charset val="204"/>
      </rPr>
      <t xml:space="preserve"> х (1 - η), т/год</t>
    </r>
  </si>
  <si>
    <t>δр,  – доля растворителя в ЛКМ, выделявшегося при нанесении покрытия, (% мас.), табл.3 [1];</t>
  </si>
  <si>
    <t>δх – содержание компонента «х» в летучей части ЛКМ, (% мас.), табл.2 [1].</t>
  </si>
  <si>
    <r>
      <t>М</t>
    </r>
    <r>
      <rPr>
        <b/>
        <vertAlign val="superscript"/>
        <sz val="14"/>
        <color theme="1"/>
        <rFont val="Times New Roman"/>
        <family val="1"/>
        <charset val="204"/>
      </rPr>
      <t>х</t>
    </r>
    <r>
      <rPr>
        <b/>
        <vertAlign val="subscript"/>
        <sz val="14"/>
        <color theme="1"/>
        <rFont val="Times New Roman"/>
        <family val="1"/>
        <charset val="204"/>
      </rPr>
      <t>окр</t>
    </r>
    <r>
      <rPr>
        <b/>
        <sz val="14"/>
        <color theme="1"/>
        <rFont val="Times New Roman"/>
        <family val="1"/>
        <charset val="204"/>
      </rPr>
      <t xml:space="preserve"> = m</t>
    </r>
    <r>
      <rPr>
        <b/>
        <vertAlign val="subscript"/>
        <sz val="14"/>
        <color theme="1"/>
        <rFont val="Times New Roman"/>
        <family val="1"/>
        <charset val="204"/>
      </rPr>
      <t>м</t>
    </r>
    <r>
      <rPr>
        <b/>
        <sz val="14"/>
        <color theme="1"/>
        <rFont val="Times New Roman"/>
        <family val="1"/>
        <charset val="204"/>
      </rPr>
      <t xml:space="preserve"> х f</t>
    </r>
    <r>
      <rPr>
        <b/>
        <vertAlign val="subscript"/>
        <sz val="14"/>
        <color theme="1"/>
        <rFont val="Times New Roman"/>
        <family val="1"/>
        <charset val="204"/>
      </rPr>
      <t>р</t>
    </r>
    <r>
      <rPr>
        <b/>
        <sz val="14"/>
        <color theme="1"/>
        <rFont val="Times New Roman"/>
        <family val="1"/>
        <charset val="204"/>
      </rPr>
      <t xml:space="preserve"> хδ</t>
    </r>
    <r>
      <rPr>
        <b/>
        <vertAlign val="subscript"/>
        <sz val="14"/>
        <color theme="1"/>
        <rFont val="Times New Roman"/>
        <family val="1"/>
        <charset val="204"/>
      </rPr>
      <t>р</t>
    </r>
    <r>
      <rPr>
        <b/>
        <vertAlign val="superscript"/>
        <sz val="14"/>
        <color theme="1"/>
        <rFont val="Times New Roman"/>
        <family val="1"/>
        <charset val="204"/>
      </rPr>
      <t>,</t>
    </r>
    <r>
      <rPr>
        <b/>
        <sz val="14"/>
        <color theme="1"/>
        <rFont val="Times New Roman"/>
        <family val="1"/>
        <charset val="204"/>
      </rPr>
      <t xml:space="preserve"> х δ</t>
    </r>
    <r>
      <rPr>
        <b/>
        <vertAlign val="subscript"/>
        <sz val="14"/>
        <color theme="1"/>
        <rFont val="Times New Roman"/>
        <family val="1"/>
        <charset val="204"/>
      </rPr>
      <t>х</t>
    </r>
    <r>
      <rPr>
        <b/>
        <sz val="14"/>
        <color theme="1"/>
        <rFont val="Times New Roman"/>
        <family val="1"/>
        <charset val="204"/>
      </rPr>
      <t xml:space="preserve"> х 10</t>
    </r>
    <r>
      <rPr>
        <b/>
        <vertAlign val="superscript"/>
        <sz val="14"/>
        <color theme="1"/>
        <rFont val="Times New Roman"/>
        <family val="1"/>
        <charset val="204"/>
      </rPr>
      <t>-6</t>
    </r>
    <r>
      <rPr>
        <b/>
        <sz val="14"/>
        <color theme="1"/>
        <rFont val="Times New Roman"/>
        <family val="1"/>
        <charset val="204"/>
      </rPr>
      <t>/3,6 х (1-η), г/с</t>
    </r>
  </si>
  <si>
    <t>mм - фактический максимальный часовой расход ЛКМ, с учетом дискретности работы оборудования (кг/час).</t>
  </si>
  <si>
    <t xml:space="preserve"> Максимальный разовый выброс индивидуальных летучих компонентов ЛКМ при окраске рассчитывается по формуле:</t>
  </si>
  <si>
    <r>
      <t>М</t>
    </r>
    <r>
      <rPr>
        <b/>
        <vertAlign val="superscript"/>
        <sz val="14"/>
        <color theme="1"/>
        <rFont val="Times New Roman"/>
        <family val="1"/>
        <charset val="204"/>
      </rPr>
      <t>х</t>
    </r>
    <r>
      <rPr>
        <b/>
        <vertAlign val="subscript"/>
        <sz val="14"/>
        <color theme="1"/>
        <rFont val="Times New Roman"/>
        <family val="1"/>
        <charset val="204"/>
      </rPr>
      <t>суш</t>
    </r>
    <r>
      <rPr>
        <b/>
        <sz val="14"/>
        <color theme="1"/>
        <rFont val="Times New Roman"/>
        <family val="1"/>
        <charset val="204"/>
      </rPr>
      <t xml:space="preserve"> = m</t>
    </r>
    <r>
      <rPr>
        <b/>
        <vertAlign val="subscript"/>
        <sz val="14"/>
        <color theme="1"/>
        <rFont val="Times New Roman"/>
        <family val="1"/>
        <charset val="204"/>
      </rPr>
      <t>ф</t>
    </r>
    <r>
      <rPr>
        <b/>
        <sz val="14"/>
        <color theme="1"/>
        <rFont val="Times New Roman"/>
        <family val="1"/>
        <charset val="204"/>
      </rPr>
      <t xml:space="preserve"> х f</t>
    </r>
    <r>
      <rPr>
        <b/>
        <vertAlign val="subscript"/>
        <sz val="14"/>
        <color theme="1"/>
        <rFont val="Times New Roman"/>
        <family val="1"/>
        <charset val="204"/>
      </rPr>
      <t>р</t>
    </r>
    <r>
      <rPr>
        <b/>
        <sz val="14"/>
        <color theme="1"/>
        <rFont val="Times New Roman"/>
        <family val="1"/>
        <charset val="204"/>
      </rPr>
      <t xml:space="preserve"> х δ</t>
    </r>
    <r>
      <rPr>
        <b/>
        <vertAlign val="subscript"/>
        <sz val="14"/>
        <color theme="1"/>
        <rFont val="Times New Roman"/>
        <family val="1"/>
        <charset val="204"/>
      </rPr>
      <t>р</t>
    </r>
    <r>
      <rPr>
        <b/>
        <vertAlign val="superscript"/>
        <sz val="14"/>
        <color theme="1"/>
        <rFont val="Times New Roman"/>
        <family val="1"/>
        <charset val="204"/>
      </rPr>
      <t>, ,</t>
    </r>
    <r>
      <rPr>
        <b/>
        <sz val="14"/>
        <color theme="1"/>
        <rFont val="Times New Roman"/>
        <family val="1"/>
        <charset val="204"/>
      </rPr>
      <t xml:space="preserve"> х δ</t>
    </r>
    <r>
      <rPr>
        <b/>
        <vertAlign val="subscript"/>
        <sz val="14"/>
        <color theme="1"/>
        <rFont val="Times New Roman"/>
        <family val="1"/>
        <charset val="204"/>
      </rPr>
      <t>х</t>
    </r>
    <r>
      <rPr>
        <b/>
        <sz val="14"/>
        <color theme="1"/>
        <rFont val="Times New Roman"/>
        <family val="1"/>
        <charset val="204"/>
      </rPr>
      <t xml:space="preserve"> х 10</t>
    </r>
    <r>
      <rPr>
        <b/>
        <vertAlign val="superscript"/>
        <sz val="14"/>
        <color theme="1"/>
        <rFont val="Times New Roman"/>
        <family val="1"/>
        <charset val="204"/>
      </rPr>
      <t>-6</t>
    </r>
    <r>
      <rPr>
        <b/>
        <sz val="14"/>
        <color theme="1"/>
        <rFont val="Times New Roman"/>
        <family val="1"/>
        <charset val="204"/>
      </rPr>
      <t xml:space="preserve"> х (1 - η), т/год</t>
    </r>
  </si>
  <si>
    <t>mм - фактический максимальный часовой расход ЛКМ, с учетом времени сушки (кг/час).</t>
  </si>
  <si>
    <r>
      <t>М</t>
    </r>
    <r>
      <rPr>
        <b/>
        <vertAlign val="superscript"/>
        <sz val="14"/>
        <color theme="1"/>
        <rFont val="Times New Roman"/>
        <family val="1"/>
        <charset val="204"/>
      </rPr>
      <t>х</t>
    </r>
    <r>
      <rPr>
        <b/>
        <vertAlign val="subscript"/>
        <sz val="14"/>
        <color theme="1"/>
        <rFont val="Times New Roman"/>
        <family val="1"/>
        <charset val="204"/>
      </rPr>
      <t>общ</t>
    </r>
    <r>
      <rPr>
        <b/>
        <sz val="14"/>
        <color theme="1"/>
        <rFont val="Times New Roman"/>
        <family val="1"/>
        <charset val="204"/>
      </rPr>
      <t xml:space="preserve"> = М</t>
    </r>
    <r>
      <rPr>
        <b/>
        <vertAlign val="superscript"/>
        <sz val="14"/>
        <color theme="1"/>
        <rFont val="Times New Roman"/>
        <family val="1"/>
        <charset val="204"/>
      </rPr>
      <t>х</t>
    </r>
    <r>
      <rPr>
        <b/>
        <vertAlign val="subscript"/>
        <sz val="14"/>
        <color theme="1"/>
        <rFont val="Times New Roman"/>
        <family val="1"/>
        <charset val="204"/>
      </rPr>
      <t>окр</t>
    </r>
    <r>
      <rPr>
        <b/>
        <sz val="14"/>
        <color theme="1"/>
        <rFont val="Times New Roman"/>
        <family val="1"/>
        <charset val="204"/>
      </rPr>
      <t xml:space="preserve"> + М</t>
    </r>
    <r>
      <rPr>
        <b/>
        <vertAlign val="superscript"/>
        <sz val="14"/>
        <color theme="1"/>
        <rFont val="Times New Roman"/>
        <family val="1"/>
        <charset val="204"/>
      </rPr>
      <t>х</t>
    </r>
    <r>
      <rPr>
        <b/>
        <vertAlign val="subscript"/>
        <sz val="14"/>
        <color theme="1"/>
        <rFont val="Times New Roman"/>
        <family val="1"/>
        <charset val="204"/>
      </rPr>
      <t>суш</t>
    </r>
  </si>
  <si>
    <t>Данные для расчета выбросов и результаты расчета приведены в таблице 1.7.</t>
  </si>
  <si>
    <t>1. Методика расчета выбросов загрязняющих веществ в атмосферу при сварочных работах (по величинам удельных выбросов) РНД 211.2.02.03-2004. Астана 2004.</t>
  </si>
  <si>
    <t xml:space="preserve">   При выполнении сварочных работ атмосферный воздух загрязняется сварочным аэрозолем, в состав которого, в зависимости от вида сварки, марок электродов и флюса, входят вредные для здоровья оксиды металлов (марганца, хрома и др.), газообразные (фтористые соединения, оксиды углерода, азота и др.). </t>
  </si>
  <si>
    <t xml:space="preserve">   Количество образующихся при сварке пыли и газов принято характеризовать валовыми выделениями, отнесенными к одному килограмму расходуемых материалов. Удельные валовые выделения приняты согласно методических указаний [1].</t>
  </si>
  <si>
    <t xml:space="preserve">   Определение количества выделяющихся вредных веществ (г/с, т/год) производится по формулам в зависимости от расхода электродов, [1]:</t>
  </si>
  <si>
    <t>где</t>
  </si>
  <si>
    <t>Bч - масса расходуемого за час сварочного материала, кг/час;</t>
  </si>
  <si>
    <t>Bг - масса расходуемого за год сварочного материала, кг/год.</t>
  </si>
  <si>
    <t>n -степень очистки воздуха в соотвующем аппарате, которым снабжается группа технологических агрегатов, кг/год.</t>
  </si>
  <si>
    <t>Данные для расчета выбросов и результаты расчета приведены в таблице 1.8.</t>
  </si>
  <si>
    <t>1.8. Расчет выбросов загрязняющих веществ при проведении 
сварочных работ</t>
  </si>
  <si>
    <t>1. Методика расчета выбросов загрязняющих веществ в атмосферу при работе с пластмассовыми материалами. Астана, 2014 г.</t>
  </si>
  <si>
    <t>Валовый выброс загрязняющих веществ определяется по формуле:</t>
  </si>
  <si>
    <t>G = q x N х 10-6, т/год,</t>
  </si>
  <si>
    <t>Максимально разовый выброс загрязняющих веществ определяется по формуле:</t>
  </si>
  <si>
    <t>М = G x 106 / (T x 3600), г/с</t>
  </si>
  <si>
    <t>q – удельное выделение загрязняющего вещества, на 1 сварку;</t>
  </si>
  <si>
    <t>N – количество сварок в течение года;</t>
  </si>
  <si>
    <t>Т – время работы оборудования, час.</t>
  </si>
  <si>
    <t>Исходные данные для расчета и результаты расчета выбросов загрязняющих веществ  приведены в таблице 1.9.</t>
  </si>
  <si>
    <t>Таблица 1.9 - Результаты расчетов выбросов загрязняющих веществ при сварке полиэтиленовых труб</t>
  </si>
  <si>
    <t>1. Методические указания расчета выбросов от предприятий, осуществляющих хранение и реализацию нефтепродуктов (нефтебазы, АЗС) и других жидкостей и газов. Астана, 2011.</t>
  </si>
  <si>
    <t xml:space="preserve">Для заправки автотракторной техники дизтопливом применяется топливозаправщик. </t>
  </si>
  <si>
    <t>Максимальные (разовые) выбросы при заполнении баков техники рассчитываются по формуле [1]:</t>
  </si>
  <si>
    <t>М б.а/м = (Сб.а/мmax х Vсл)/3600,  г/с</t>
  </si>
  <si>
    <t xml:space="preserve">где: </t>
  </si>
  <si>
    <t>Vсл – фактический максимальный расход топлива, м3/час;</t>
  </si>
  <si>
    <t>Сб.а./мmax – максимальная концентрация паров нефтепродуктов в выбросах паровоздушной смеси при заполнении баков техники, в зависимости от их конструкции и климатической зоны, в которой расположен объект, г/м3 (прилож.12 [1]).</t>
  </si>
  <si>
    <t xml:space="preserve">   При расчете годовых выбросов учитываются выбросы из топливных баков автомобилей при их заправке, и при проливах за счет стекания нефтепродуктов со стенок заправочных и сливных шлангов.</t>
  </si>
  <si>
    <t xml:space="preserve">   Годовые выбросы паров нефтепродуктов при заправке рассчитываются как сумма выбросов из баков автомобилей и выбросов от проливов нефтепродуктов на поверхность по формуле [1]:</t>
  </si>
  <si>
    <t>Gтрк = Gб.а. + Gпр.а, т/год</t>
  </si>
  <si>
    <t xml:space="preserve">  Выброс загрязняющих веществ из баков автомобилей рассчитывается по формуле [1]:</t>
  </si>
  <si>
    <t>Gб.а = (Сбоз х Qоз + Сбвл х Qвл) х 10-6, т/год</t>
  </si>
  <si>
    <t xml:space="preserve"> Сбоз, Сбвл – концентрация паров нефтепродуктов в выбросах паровоздушной смеси при заполнении баков автомобилей в осенне-зимний, весенне-летний период соответственно, г/м3 (согласно прилож. 15 [1]);</t>
  </si>
  <si>
    <t>Qоз, Qвл – количество закачиваемого в резервуар нефтепродукта в осенне-зимний,  весенне-летний период соответственно (м3).</t>
  </si>
  <si>
    <t xml:space="preserve">   Выброс загрязняющих веществ от проливов нефтепродуктов на поверхность от ТРК рассчитывается по формуле [1]:</t>
  </si>
  <si>
    <t>Gпр.а = 0,5 х J х ( Qоз +  Qвл) х 10-6,   т/год</t>
  </si>
  <si>
    <t>J – удельные выбросы при проливах, г/м3. Для автобензинов J = 125, для дизтоплива=50 [1];</t>
  </si>
  <si>
    <t xml:space="preserve">   Выбросы паров дизельного топлива по группам углеводородов (предельных и непредельных) и др. рассчитываются по формулам 5.2.4 и 5.2.5 [1]:</t>
  </si>
  <si>
    <r>
      <t xml:space="preserve">максимальные выбросы i-го загрязняющего вещества:  </t>
    </r>
    <r>
      <rPr>
        <b/>
        <sz val="14"/>
        <color theme="1"/>
        <rFont val="Times New Roman"/>
        <family val="1"/>
        <charset val="204"/>
      </rPr>
      <t>Мi = М х Сi / 100, г/с</t>
    </r>
  </si>
  <si>
    <r>
      <t>годовые выбросы i-го загрязняющего вещества:</t>
    </r>
    <r>
      <rPr>
        <b/>
        <sz val="14"/>
        <color theme="1"/>
        <rFont val="Times New Roman"/>
        <family val="1"/>
        <charset val="204"/>
      </rPr>
      <t xml:space="preserve"> Gi = G х Сi / 100, т/год</t>
    </r>
  </si>
  <si>
    <t>Сi - концентрация i-го загрязняющего вещества, % масс (приложение 14 [1]).</t>
  </si>
  <si>
    <r>
      <t>q= A + B =  К1 х K2 х K3 х K4 х K5 х K7 x В’х G х 10</t>
    </r>
    <r>
      <rPr>
        <b/>
        <vertAlign val="superscript"/>
        <sz val="12"/>
        <color theme="1"/>
        <rFont val="Times New Roman"/>
        <family val="1"/>
        <charset val="204"/>
      </rPr>
      <t xml:space="preserve">-6 </t>
    </r>
    <r>
      <rPr>
        <b/>
        <sz val="12"/>
        <color theme="1"/>
        <rFont val="Times New Roman"/>
        <family val="1"/>
        <charset val="204"/>
      </rPr>
      <t>/ 3600  + K3 х K4 х K5 х K6 х K7 x q x F , г/с</t>
    </r>
  </si>
  <si>
    <t>Валовый выброс при пересыпке определяется:</t>
  </si>
  <si>
    <t>Qг пересыпка = К1 х К2 х К3 х К4 х К5 х К7 х G1 х В’, т/год</t>
  </si>
  <si>
    <t>Валовый выброс при хранении определяется:</t>
  </si>
  <si>
    <t>Qг хранения = qхранение х t х (365-Тс-Тд) х 3600 х 10-6, т/год</t>
  </si>
  <si>
    <t>А – выбросы при переработке (ссыпка, перевалка, перемещение) материала, г/с;</t>
  </si>
  <si>
    <t>В – выбросы при статическом хранении материала;</t>
  </si>
  <si>
    <t>k1 – весовая доля пылевой фракции в материале. Определяется путем отмывки и просева средней пробы с выделением фракции пыли размером 0-200 мкм соответствии с таблицей 1 согласно приложению к настоящей Методике;</t>
  </si>
  <si>
    <t>k2 – доля пыли (от всей массы пыли), переходящая в аэрозоль соответствии с таблицей 1 согласно приложению к настоящей Методике;</t>
  </si>
  <si>
    <t>k3 – коэффициент, учитывающий местные метеоусловия и принимаемый в соответствии с таблицей 2 согласно приложению к настоящей Методике;</t>
  </si>
  <si>
    <t>k4 – коэффициент, учитывающий местные условия, степень защищенности узла от внешних воздействий, условия пылеобразования. Данные приведены в таблице 3 согласно приложению к настоящей Методике;</t>
  </si>
  <si>
    <t>k5 – коэффициент, учитывающий влажность материала и принимаемый в соответствии с данными таблицы 4 согласно приложению к настоящей Методике;</t>
  </si>
  <si>
    <t>k6 – коэффициент, учитывающий профиль поверхности складируемого материала и определяемым как соотношение Fфакт/F. Значение k6 колеблется в пределах 1,3-1,6 в зависимости от крупности материала и степени заполнения;</t>
  </si>
  <si>
    <t>k7 – коэффициент, учитывающий крупность материала и принимаемый в соответствии с таблицей 5 согласно приложению к настоящей Методике;</t>
  </si>
  <si>
    <t>Fфакт – фактическая поверхность материала с учетом рельефа его сечения (учитывать только площадь, на которой производятся погрузочно-разгрузочные работы);</t>
  </si>
  <si>
    <t>F – поверхность пыления в плане, м2;</t>
  </si>
  <si>
    <t xml:space="preserve">q' – унос пыли с одною квадратного метра фактической поверхности в условиях, когда k4=1; k5=1, принимается в соответствии с данными таблицы 6 согласно приложению к настоящей Методике; </t>
  </si>
  <si>
    <t>В' – коэффициент, учитывающий высоту пересыпки и принимаемый в соответствии с таблицей 7 согласно приложению к настоящей Методике. Склады и хвостохранилища рассматриваются как равномерно распределенные источники пылевыделения;</t>
  </si>
  <si>
    <t xml:space="preserve">G1 – суммарное количество перерабатываемого материала, т/год </t>
  </si>
  <si>
    <t>q хранение – максимально-разовый выброс при хранении, г/с;</t>
  </si>
  <si>
    <t>t – время хранения, ч/сут;</t>
  </si>
  <si>
    <t>Тс – годовое количество суток с устойчивым снежным покровом, сут;</t>
  </si>
  <si>
    <t>Тд – годовое количество суток с осадками в виде дождя, сут.</t>
  </si>
  <si>
    <t>Максимальный разовый выброс пыли при бурении скважин рассчитывается по формуле [1]:</t>
  </si>
  <si>
    <r>
      <t>М</t>
    </r>
    <r>
      <rPr>
        <b/>
        <vertAlign val="subscript"/>
        <sz val="14"/>
        <color theme="1"/>
        <rFont val="Times New Roman"/>
        <family val="1"/>
        <charset val="204"/>
      </rPr>
      <t>сек</t>
    </r>
    <r>
      <rPr>
        <b/>
        <sz val="14"/>
        <color theme="1"/>
        <rFont val="Times New Roman"/>
        <family val="1"/>
        <charset val="204"/>
      </rPr>
      <t xml:space="preserve"> = n x z x (1 - η) / 3600, г/с</t>
    </r>
  </si>
  <si>
    <r>
      <t>z</t>
    </r>
    <r>
      <rPr>
        <i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– количество пыли, выделяемое при бурении одним станком, г/ч,</t>
    </r>
  </si>
  <si>
    <t xml:space="preserve">η – эффективность системы пылеочистки, в долях. </t>
  </si>
  <si>
    <t>Валовое количество твердых частиц, выделяющихся при бурении скважин, определяется по формуле [1]:</t>
  </si>
  <si>
    <r>
      <t xml:space="preserve">        </t>
    </r>
    <r>
      <rPr>
        <b/>
        <sz val="14"/>
        <color theme="1"/>
        <rFont val="Times New Roman"/>
        <family val="1"/>
        <charset val="204"/>
      </rPr>
      <t xml:space="preserve"> М</t>
    </r>
    <r>
      <rPr>
        <b/>
        <vertAlign val="subscript"/>
        <sz val="14"/>
        <color theme="1"/>
        <rFont val="Times New Roman"/>
        <family val="1"/>
        <charset val="204"/>
      </rPr>
      <t>год</t>
    </r>
    <r>
      <rPr>
        <b/>
        <sz val="14"/>
        <color theme="1"/>
        <rFont val="Times New Roman"/>
        <family val="1"/>
        <charset val="204"/>
      </rPr>
      <t xml:space="preserve"> = n x z x T x (1 - η) x 10</t>
    </r>
    <r>
      <rPr>
        <b/>
        <vertAlign val="superscript"/>
        <sz val="14"/>
        <color theme="1"/>
        <rFont val="Times New Roman"/>
        <family val="1"/>
        <charset val="204"/>
      </rPr>
      <t>-6</t>
    </r>
    <r>
      <rPr>
        <b/>
        <sz val="14"/>
        <color theme="1"/>
        <rFont val="Times New Roman"/>
        <family val="1"/>
        <charset val="204"/>
      </rPr>
      <t xml:space="preserve">, т/год </t>
    </r>
  </si>
  <si>
    <t>n – количество единовременно работающих буровых станков;</t>
  </si>
  <si>
    <t>Т – время работы станка в год.</t>
  </si>
  <si>
    <r>
      <t xml:space="preserve"> </t>
    </r>
    <r>
      <rPr>
        <b/>
        <sz val="12"/>
        <color theme="1"/>
        <rFont val="Times New Roman"/>
        <family val="1"/>
        <charset val="204"/>
      </rPr>
      <t>Список литературы:</t>
    </r>
    <r>
      <rPr>
        <sz val="12"/>
        <color theme="1"/>
        <rFont val="Times New Roman"/>
        <family val="1"/>
        <charset val="204"/>
      </rPr>
      <t xml:space="preserve">        </t>
    </r>
  </si>
  <si>
    <t>1. Методика расчета выбросов вредных веществ от предприятий дорожно-строительной отрасли, в том числе от асфальтобетонных заводов (приложение № 3 к приказу МООС РК от 18.04.2008 г. № 100-п).</t>
  </si>
  <si>
    <t xml:space="preserve">            Выброс загрязняющих веществ одной дорожной машиной данной группы в день при движении и работе на территории предприятия рассчитывается по формуле:</t>
  </si>
  <si>
    <t>М1 = МL x Tv1 + 1,3 x МL x Tv1n + Mxx x Txs, г</t>
  </si>
  <si>
    <t xml:space="preserve">                 где ML   - удельный выброс при движении по территории предприятия с условно постоянной скоростью, г/мин;
                       Tv1 -  суммарное время движения машины без нагрузки в день, мин.;
                       Tv1n - суммарное время движения машины под нагрузкой в день, мин.;
                       Mxx - удельный выброс вещества при работе двигателя на холостом ходу, г/мин.;
                       Txs -  суммарное время работы двигателя на холостом ходу в день, мин.</t>
  </si>
  <si>
    <t xml:space="preserve">             Максимальный разовый выброс от 1 машины данной группы рассчитывается по формуле:</t>
  </si>
  <si>
    <t xml:space="preserve">М1 = МL x Tv2 + 1,3 x МL x Tv2n + Mxx x Txm, г/30 мин </t>
  </si>
  <si>
    <t xml:space="preserve">                 где Tv2 - максимальное время движения машины без нагрузки в течение 30 мин.;
                       Tv2n, Txm - максимальное время  работы под нагрузкой и на холостом ходу  в течение 30 мин.</t>
  </si>
  <si>
    <t xml:space="preserve">             Валовый выброс вещества автотракторной техники (дорожными машинами) данной группы рассчитывается раздельно для каждого периода по формуле:</t>
  </si>
  <si>
    <r>
      <t>М</t>
    </r>
    <r>
      <rPr>
        <b/>
        <vertAlign val="subscript"/>
        <sz val="14"/>
        <color theme="1"/>
        <rFont val="Times New Roman"/>
        <family val="1"/>
        <charset val="204"/>
      </rPr>
      <t>4</t>
    </r>
    <r>
      <rPr>
        <b/>
        <sz val="14"/>
        <color theme="1"/>
        <rFont val="Times New Roman"/>
        <family val="1"/>
        <charset val="204"/>
      </rPr>
      <t>год = А x М1 х Nk x Dn х 10-6,  т/год</t>
    </r>
  </si>
  <si>
    <t xml:space="preserve">                 где  A  - коэффициент выпуска (выезда);
                        Nk - общее количество автомобилей данной группы;
                        Dn - количество рабочих дней в расчетном периоде (теплый, переходный, холодный).</t>
  </si>
  <si>
    <t xml:space="preserve">  Для определения общего валового выброса M1год валовые выбросы одноименных веществ по периодам года суммируются:</t>
  </si>
  <si>
    <r>
      <t>М</t>
    </r>
    <r>
      <rPr>
        <b/>
        <vertAlign val="subscript"/>
        <sz val="14"/>
        <color theme="1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>год = М</t>
    </r>
    <r>
      <rPr>
        <b/>
        <vertAlign val="subscript"/>
        <sz val="14"/>
        <color theme="1"/>
        <rFont val="Times New Roman"/>
        <family val="1"/>
        <charset val="204"/>
      </rPr>
      <t>i</t>
    </r>
    <r>
      <rPr>
        <b/>
        <vertAlign val="superscript"/>
        <sz val="14"/>
        <color theme="1"/>
        <rFont val="Times New Roman"/>
        <family val="1"/>
        <charset val="204"/>
      </rPr>
      <t xml:space="preserve">m </t>
    </r>
    <r>
      <rPr>
        <b/>
        <sz val="14"/>
        <color theme="1"/>
        <rFont val="Times New Roman"/>
        <family val="1"/>
        <charset val="204"/>
      </rPr>
      <t>+ М</t>
    </r>
    <r>
      <rPr>
        <b/>
        <vertAlign val="subscript"/>
        <sz val="14"/>
        <color theme="1"/>
        <rFont val="Times New Roman"/>
        <family val="1"/>
        <charset val="204"/>
      </rPr>
      <t>i</t>
    </r>
    <r>
      <rPr>
        <b/>
        <vertAlign val="superscript"/>
        <sz val="14"/>
        <color theme="1"/>
        <rFont val="Times New Roman"/>
        <family val="1"/>
        <charset val="204"/>
      </rPr>
      <t>x</t>
    </r>
    <r>
      <rPr>
        <b/>
        <sz val="14"/>
        <color theme="1"/>
        <rFont val="Times New Roman"/>
        <family val="1"/>
        <charset val="204"/>
      </rPr>
      <t xml:space="preserve"> + M</t>
    </r>
    <r>
      <rPr>
        <b/>
        <vertAlign val="subscript"/>
        <sz val="14"/>
        <color theme="1"/>
        <rFont val="Times New Roman"/>
        <family val="1"/>
        <charset val="204"/>
      </rPr>
      <t>i</t>
    </r>
    <r>
      <rPr>
        <b/>
        <vertAlign val="superscript"/>
        <sz val="14"/>
        <color theme="1"/>
        <rFont val="Times New Roman"/>
        <family val="1"/>
        <charset val="204"/>
      </rPr>
      <t>n</t>
    </r>
    <r>
      <rPr>
        <b/>
        <sz val="14"/>
        <color theme="1"/>
        <rFont val="Times New Roman"/>
        <family val="1"/>
        <charset val="204"/>
      </rPr>
      <t>,  т/год</t>
    </r>
  </si>
  <si>
    <t>Максимальный разовый выброс от автотракторной техники (дорожных машин) данной группы рассчитывается по формуле:</t>
  </si>
  <si>
    <r>
      <t>М</t>
    </r>
    <r>
      <rPr>
        <b/>
        <vertAlign val="subscript"/>
        <sz val="14"/>
        <color theme="1"/>
        <rFont val="Times New Roman"/>
        <family val="1"/>
        <charset val="204"/>
      </rPr>
      <t>4</t>
    </r>
    <r>
      <rPr>
        <b/>
        <sz val="14"/>
        <color theme="1"/>
        <rFont val="Times New Roman"/>
        <family val="1"/>
        <charset val="204"/>
      </rPr>
      <t xml:space="preserve">сек  =  M2 х Nkl / 1800, г/cек </t>
    </r>
  </si>
  <si>
    <t xml:space="preserve">                  где Nk1 - наибольшее количество машин данной группы, двигающихся (работающих) в течение получаса.</t>
  </si>
  <si>
    <t xml:space="preserve">             Из полученных значений М1сек для разных групп автомобилей и расчетных периодов выбирается максимальное.</t>
  </si>
  <si>
    <t>№ ИЗ</t>
  </si>
  <si>
    <t>Наименование</t>
  </si>
  <si>
    <t>код ЗВ</t>
  </si>
  <si>
    <t>ИТОГО</t>
  </si>
  <si>
    <t>год нормирования</t>
  </si>
  <si>
    <t>ИТОГО:</t>
  </si>
  <si>
    <t>Гидрометаллургический цех</t>
  </si>
  <si>
    <t>Таблица 1.12 – Расчет выбросов пыли при буровых работах</t>
  </si>
  <si>
    <t>1.12. Расчет выбросов загрязняющих веществ при проведении буровых работ</t>
  </si>
  <si>
    <t>Участок подачи извести и известняка (УПИиИ):</t>
  </si>
  <si>
    <t>Открытый склад оборудования и материалов, Склад производственный (ОСОиМ и СП)</t>
  </si>
  <si>
    <t>Итого по ист.708702:</t>
  </si>
  <si>
    <t>Административно-бытовой корпус</t>
  </si>
  <si>
    <t>Склад горюче-смазочных материалов (ГСМ)</t>
  </si>
  <si>
    <t xml:space="preserve">Склад техногенного грунта </t>
  </si>
  <si>
    <t xml:space="preserve">ДЭС-30 кВт ЯМЗ Д-246 (РФ) </t>
  </si>
  <si>
    <t xml:space="preserve">ДЭС-50 кВт ММЗ Д-246 (Ф) </t>
  </si>
  <si>
    <t xml:space="preserve"> </t>
  </si>
  <si>
    <t>Итого по ист.707102</t>
  </si>
  <si>
    <t>СОДЕРЖАНИЕ</t>
  </si>
  <si>
    <r>
      <t>М</t>
    </r>
    <r>
      <rPr>
        <b/>
        <vertAlign val="subscript"/>
        <sz val="14"/>
        <color theme="1"/>
        <rFont val="Times New Roman"/>
        <family val="1"/>
        <charset val="204"/>
      </rPr>
      <t xml:space="preserve">год </t>
    </r>
    <r>
      <rPr>
        <b/>
        <sz val="14"/>
        <color theme="1"/>
        <rFont val="Times New Roman"/>
        <family val="1"/>
        <charset val="204"/>
      </rPr>
      <t>= q</t>
    </r>
    <r>
      <rPr>
        <b/>
        <vertAlign val="subscript"/>
        <sz val="14"/>
        <color theme="1"/>
        <rFont val="Times New Roman"/>
        <family val="1"/>
        <charset val="204"/>
      </rPr>
      <t xml:space="preserve">уд </t>
    </r>
    <r>
      <rPr>
        <b/>
        <sz val="14"/>
        <color theme="1"/>
        <rFont val="Times New Roman"/>
        <family val="1"/>
        <charset val="204"/>
      </rPr>
      <t>х 3,6 х y х V х t</t>
    </r>
    <r>
      <rPr>
        <b/>
        <vertAlign val="subscript"/>
        <sz val="14"/>
        <color theme="1"/>
        <rFont val="Times New Roman"/>
        <family val="1"/>
        <charset val="204"/>
      </rPr>
      <t>cм</t>
    </r>
    <r>
      <rPr>
        <b/>
        <sz val="14"/>
        <color theme="1"/>
        <rFont val="Times New Roman"/>
        <family val="1"/>
        <charset val="204"/>
      </rPr>
      <t xml:space="preserve"> x n</t>
    </r>
    <r>
      <rPr>
        <b/>
        <vertAlign val="subscript"/>
        <sz val="14"/>
        <color theme="1"/>
        <rFont val="Times New Roman"/>
        <family val="1"/>
        <charset val="204"/>
      </rPr>
      <t>см</t>
    </r>
    <r>
      <rPr>
        <b/>
        <sz val="14"/>
        <color theme="1"/>
        <rFont val="Times New Roman"/>
        <family val="1"/>
        <charset val="204"/>
      </rPr>
      <t xml:space="preserve"> х 10</t>
    </r>
    <r>
      <rPr>
        <b/>
        <vertAlign val="superscript"/>
        <sz val="14"/>
        <color theme="1"/>
        <rFont val="Times New Roman"/>
        <family val="1"/>
        <charset val="204"/>
      </rPr>
      <t>-3</t>
    </r>
    <r>
      <rPr>
        <b/>
        <sz val="14"/>
        <color theme="1"/>
        <rFont val="Times New Roman"/>
        <family val="1"/>
        <charset val="204"/>
      </rPr>
      <t xml:space="preserve"> х К</t>
    </r>
    <r>
      <rPr>
        <b/>
        <vertAlign val="subscript"/>
        <sz val="14"/>
        <color theme="1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 xml:space="preserve"> х K</t>
    </r>
    <r>
      <rPr>
        <b/>
        <vertAlign val="subscript"/>
        <sz val="14"/>
        <color theme="1"/>
        <rFont val="Times New Roman"/>
        <family val="1"/>
        <charset val="204"/>
      </rPr>
      <t>2</t>
    </r>
    <r>
      <rPr>
        <b/>
        <sz val="14"/>
        <color theme="1"/>
        <rFont val="Times New Roman"/>
        <family val="1"/>
        <charset val="204"/>
      </rPr>
      <t xml:space="preserve"> / t</t>
    </r>
    <r>
      <rPr>
        <b/>
        <vertAlign val="subscript"/>
        <sz val="14"/>
        <color theme="1"/>
        <rFont val="Times New Roman"/>
        <family val="1"/>
        <charset val="204"/>
      </rPr>
      <t>цб</t>
    </r>
    <r>
      <rPr>
        <b/>
        <sz val="14"/>
        <color theme="1"/>
        <rFont val="Times New Roman"/>
        <family val="1"/>
        <charset val="204"/>
      </rPr>
      <t xml:space="preserve"> х К</t>
    </r>
    <r>
      <rPr>
        <b/>
        <vertAlign val="subscript"/>
        <sz val="14"/>
        <color theme="1"/>
        <rFont val="Times New Roman"/>
        <family val="1"/>
        <charset val="204"/>
      </rPr>
      <t>р</t>
    </r>
    <r>
      <rPr>
        <b/>
        <sz val="14"/>
        <color theme="1"/>
        <rFont val="Times New Roman"/>
        <family val="1"/>
        <charset val="204"/>
      </rPr>
      <t xml:space="preserve"> x (1-z), т/год  </t>
    </r>
  </si>
  <si>
    <r>
      <t>q</t>
    </r>
    <r>
      <rPr>
        <vertAlign val="subscript"/>
        <sz val="12"/>
        <color theme="1"/>
        <rFont val="Times New Roman"/>
        <family val="1"/>
        <charset val="204"/>
      </rPr>
      <t>уд.б.</t>
    </r>
    <r>
      <rPr>
        <sz val="12"/>
        <color theme="1"/>
        <rFont val="Times New Roman"/>
        <family val="1"/>
        <charset val="204"/>
      </rPr>
      <t xml:space="preserve"> - удельное выделение твердых частиц с 1 т перемещаемого материала, г/т (таблица 19) [1]; </t>
    </r>
  </si>
  <si>
    <r>
      <t xml:space="preserve">t </t>
    </r>
    <r>
      <rPr>
        <vertAlign val="subscript"/>
        <sz val="12"/>
        <color theme="1"/>
        <rFont val="Times New Roman"/>
        <family val="1"/>
        <charset val="204"/>
      </rPr>
      <t>см</t>
    </r>
    <r>
      <rPr>
        <sz val="12"/>
        <color theme="1"/>
        <rFont val="Times New Roman"/>
        <family val="1"/>
        <charset val="204"/>
      </rPr>
      <t xml:space="preserve"> - чистое время работы бульдозера в смену, ч; </t>
    </r>
  </si>
  <si>
    <r>
      <t>V - объем призмы волочения, 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;</t>
    </r>
  </si>
  <si>
    <r>
      <t xml:space="preserve">t </t>
    </r>
    <r>
      <rPr>
        <vertAlign val="subscript"/>
        <sz val="12"/>
        <color theme="1"/>
        <rFont val="Times New Roman"/>
        <family val="1"/>
        <charset val="204"/>
      </rPr>
      <t>цб</t>
    </r>
    <r>
      <rPr>
        <sz val="12"/>
        <color theme="1"/>
        <rFont val="Times New Roman"/>
        <family val="1"/>
        <charset val="204"/>
      </rPr>
      <t xml:space="preserve"> - время цикла, с; </t>
    </r>
  </si>
  <si>
    <r>
      <t>n</t>
    </r>
    <r>
      <rPr>
        <vertAlign val="subscript"/>
        <sz val="12"/>
        <color theme="1"/>
        <rFont val="Times New Roman"/>
        <family val="1"/>
        <charset val="204"/>
      </rPr>
      <t xml:space="preserve">см </t>
    </r>
    <r>
      <rPr>
        <sz val="12"/>
        <color theme="1"/>
        <rFont val="Times New Roman"/>
        <family val="1"/>
        <charset val="204"/>
      </rPr>
      <t>- количество смен работы бульдозера в год;</t>
    </r>
  </si>
  <si>
    <r>
      <t>К</t>
    </r>
    <r>
      <rPr>
        <vertAlign val="subscript"/>
        <sz val="12"/>
        <color theme="1"/>
        <rFont val="Times New Roman"/>
        <family val="1"/>
        <charset val="204"/>
      </rPr>
      <t>р</t>
    </r>
    <r>
      <rPr>
        <sz val="12"/>
        <color theme="1"/>
        <rFont val="Times New Roman"/>
        <family val="1"/>
        <charset val="204"/>
      </rPr>
      <t xml:space="preserve"> – коэффициент разрыхления.</t>
    </r>
  </si>
  <si>
    <r>
      <t>М</t>
    </r>
    <r>
      <rPr>
        <b/>
        <vertAlign val="subscript"/>
        <sz val="14"/>
        <color theme="1"/>
        <rFont val="Times New Roman"/>
        <family val="1"/>
        <charset val="204"/>
      </rPr>
      <t xml:space="preserve">сек </t>
    </r>
    <r>
      <rPr>
        <b/>
        <sz val="14"/>
        <color theme="1"/>
        <rFont val="Times New Roman"/>
        <family val="1"/>
        <charset val="204"/>
      </rPr>
      <t>= [q</t>
    </r>
    <r>
      <rPr>
        <b/>
        <vertAlign val="subscript"/>
        <sz val="14"/>
        <color theme="1"/>
        <rFont val="Times New Roman"/>
        <family val="1"/>
        <charset val="204"/>
      </rPr>
      <t>уд</t>
    </r>
    <r>
      <rPr>
        <b/>
        <sz val="14"/>
        <color theme="1"/>
        <rFont val="Times New Roman"/>
        <family val="1"/>
        <charset val="204"/>
      </rPr>
      <t xml:space="preserve"> х y х V х К</t>
    </r>
    <r>
      <rPr>
        <b/>
        <vertAlign val="subscript"/>
        <sz val="14"/>
        <color theme="1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 xml:space="preserve"> х K</t>
    </r>
    <r>
      <rPr>
        <b/>
        <vertAlign val="subscript"/>
        <sz val="14"/>
        <color theme="1"/>
        <rFont val="Times New Roman"/>
        <family val="1"/>
        <charset val="204"/>
      </rPr>
      <t>2</t>
    </r>
    <r>
      <rPr>
        <b/>
        <sz val="14"/>
        <color theme="1"/>
        <rFont val="Times New Roman"/>
        <family val="1"/>
        <charset val="204"/>
      </rPr>
      <t xml:space="preserve"> / t</t>
    </r>
    <r>
      <rPr>
        <b/>
        <vertAlign val="subscript"/>
        <sz val="14"/>
        <color theme="1"/>
        <rFont val="Times New Roman"/>
        <family val="1"/>
        <charset val="204"/>
      </rPr>
      <t>цб</t>
    </r>
    <r>
      <rPr>
        <b/>
        <sz val="14"/>
        <color theme="1"/>
        <rFont val="Times New Roman"/>
        <family val="1"/>
        <charset val="204"/>
      </rPr>
      <t xml:space="preserve"> х K</t>
    </r>
    <r>
      <rPr>
        <b/>
        <vertAlign val="subscript"/>
        <sz val="14"/>
        <color theme="1"/>
        <rFont val="Times New Roman"/>
        <family val="1"/>
        <charset val="204"/>
      </rPr>
      <t>p</t>
    </r>
    <r>
      <rPr>
        <b/>
        <sz val="14"/>
        <color theme="1"/>
        <rFont val="Times New Roman"/>
        <family val="1"/>
        <charset val="204"/>
      </rPr>
      <t xml:space="preserve">] x (1-z), г/с  </t>
    </r>
  </si>
  <si>
    <r>
      <t>q</t>
    </r>
    <r>
      <rPr>
        <vertAlign val="subscript"/>
        <sz val="10"/>
        <color theme="1"/>
        <rFont val="Times New Roman"/>
        <family val="1"/>
        <charset val="204"/>
      </rPr>
      <t>уд, г/т</t>
    </r>
  </si>
  <si>
    <r>
      <t>γ, т/м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</si>
  <si>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V,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</si>
  <si>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t</t>
    </r>
    <r>
      <rPr>
        <vertAlign val="subscript"/>
        <sz val="10"/>
        <color theme="1"/>
        <rFont val="Times New Roman"/>
        <family val="1"/>
        <charset val="204"/>
      </rPr>
      <t>см</t>
    </r>
    <r>
      <rPr>
        <sz val="10"/>
        <color theme="1"/>
        <rFont val="Times New Roman"/>
        <family val="1"/>
        <charset val="204"/>
      </rPr>
      <t>, ч</t>
    </r>
  </si>
  <si>
    <r>
      <t>n</t>
    </r>
    <r>
      <rPr>
        <vertAlign val="subscript"/>
        <sz val="10"/>
        <color theme="1"/>
        <rFont val="Times New Roman"/>
        <family val="1"/>
        <charset val="204"/>
      </rPr>
      <t>cм</t>
    </r>
    <r>
      <rPr>
        <sz val="10"/>
        <color theme="1"/>
        <rFont val="Times New Roman"/>
        <family val="1"/>
        <charset val="204"/>
      </rPr>
      <t>, см/год</t>
    </r>
  </si>
  <si>
    <r>
      <t>t</t>
    </r>
    <r>
      <rPr>
        <vertAlign val="subscript"/>
        <sz val="10"/>
        <color theme="1"/>
        <rFont val="Times New Roman"/>
        <family val="1"/>
        <charset val="204"/>
      </rPr>
      <t>цб</t>
    </r>
    <r>
      <rPr>
        <sz val="10"/>
        <color theme="1"/>
        <rFont val="Times New Roman"/>
        <family val="1"/>
        <charset val="204"/>
      </rPr>
      <t>, с</t>
    </r>
  </si>
  <si>
    <r>
      <t>К</t>
    </r>
    <r>
      <rPr>
        <vertAlign val="subscript"/>
        <sz val="10"/>
        <color theme="1"/>
        <rFont val="Times New Roman"/>
        <family val="1"/>
        <charset val="204"/>
      </rPr>
      <t>1</t>
    </r>
  </si>
  <si>
    <r>
      <t>К</t>
    </r>
    <r>
      <rPr>
        <vertAlign val="subscript"/>
        <sz val="10"/>
        <color theme="1"/>
        <rFont val="Times New Roman"/>
        <family val="1"/>
        <charset val="204"/>
      </rPr>
      <t>2</t>
    </r>
  </si>
  <si>
    <r>
      <t>К</t>
    </r>
    <r>
      <rPr>
        <vertAlign val="subscript"/>
        <sz val="10"/>
        <color theme="1"/>
        <rFont val="Times New Roman"/>
        <family val="1"/>
        <charset val="204"/>
      </rPr>
      <t>р</t>
    </r>
  </si>
  <si>
    <r>
      <t>М</t>
    </r>
    <r>
      <rPr>
        <vertAlign val="subscript"/>
        <sz val="10"/>
        <color theme="1"/>
        <rFont val="Times New Roman"/>
        <family val="1"/>
        <charset val="204"/>
      </rPr>
      <t xml:space="preserve">  </t>
    </r>
    <r>
      <rPr>
        <sz val="10"/>
        <color theme="1"/>
        <rFont val="Times New Roman"/>
        <family val="1"/>
        <charset val="204"/>
      </rPr>
      <t>г/с</t>
    </r>
  </si>
  <si>
    <r>
      <t>М</t>
    </r>
    <r>
      <rPr>
        <vertAlign val="subscript"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т/год</t>
    </r>
  </si>
  <si>
    <t>СТР.</t>
  </si>
  <si>
    <t xml:space="preserve">1.1. Выбросы пыли при работе бульдозера при снятии техногенного грунта </t>
  </si>
  <si>
    <t xml:space="preserve">   Масса пыли, выделяющейся при погрузки, рассчитывается по формуле [1]:</t>
  </si>
  <si>
    <t>1.5. Расчет выбросов загрязняющих веществ при пересыпке сыпучих метериалов</t>
  </si>
  <si>
    <r>
      <t>К</t>
    </r>
    <r>
      <rPr>
        <vertAlign val="subscript"/>
        <sz val="10"/>
        <color theme="1"/>
        <rFont val="Times New Roman"/>
        <family val="1"/>
        <charset val="204"/>
      </rPr>
      <t>э</t>
    </r>
  </si>
  <si>
    <r>
      <t>t</t>
    </r>
    <r>
      <rPr>
        <vertAlign val="subscript"/>
        <sz val="10"/>
        <color theme="1"/>
        <rFont val="Times New Roman"/>
        <family val="1"/>
        <charset val="204"/>
      </rPr>
      <t>ц</t>
    </r>
  </si>
  <si>
    <r>
      <t>Т</t>
    </r>
    <r>
      <rPr>
        <vertAlign val="subscript"/>
        <sz val="10"/>
        <color theme="1"/>
        <rFont val="Times New Roman"/>
        <family val="1"/>
        <charset val="204"/>
      </rPr>
      <t>г</t>
    </r>
  </si>
  <si>
    <r>
      <t>q</t>
    </r>
    <r>
      <rPr>
        <vertAlign val="subscript"/>
        <sz val="10"/>
        <color theme="1"/>
        <rFont val="Times New Roman"/>
        <family val="1"/>
        <charset val="204"/>
      </rPr>
      <t>уд</t>
    </r>
  </si>
  <si>
    <t>Выбросы пыли при работе бульдозера при снятии техногенного грунта ................</t>
  </si>
  <si>
    <t>Расчет выбросов загрязняющих веществ при земляных работах….......................</t>
  </si>
  <si>
    <t>Расчет выбросов загрязняющих веществ при транспортных работах….......................</t>
  </si>
  <si>
    <t>Расчет выбросов загрязняющих веществ при пересыпке сыпучих метериалов….......................</t>
  </si>
  <si>
    <t xml:space="preserve">1. Методика расчета выбросов вредных веществ от предприятий дорожно-строительной отрасли, в том числе от асфальтобетонных заводов. Астана, 2008. </t>
  </si>
  <si>
    <t xml:space="preserve">   Согласно [1] нормативы естественной убыли (потери) дорожно-строительных материалов – битума при разгрузке и укладке составляют 0,2%. В используемом асфальтобетоне битума содержится 6% от массы.</t>
  </si>
  <si>
    <t>Мг = В * n * 10-2, т/год</t>
  </si>
  <si>
    <t>Мс = Мг * 106 / Т * 3600, г/с</t>
  </si>
  <si>
    <t>В – расход битума, т/год;</t>
  </si>
  <si>
    <t>n – нормативы естественной убыли, % (табл. 3.1 [1]);</t>
  </si>
  <si>
    <t>Т – время работы по укладке асфальтобетона, ч/год.</t>
  </si>
  <si>
    <t xml:space="preserve">    Выбросы углеводородов в процессе разгрузки и укладки асфальтобетона определяются по формуле:</t>
  </si>
  <si>
    <t>1.6. Расчет выбросов загрязняющих веществ при укладке асфальтобетона</t>
  </si>
  <si>
    <t>Расчет выбросов загрязняющих веществ при укладке асфальтобетона…...................</t>
  </si>
  <si>
    <t>1.7. Расчет выбросов загрязняющих веществ в атмосферу при покрасочных работах</t>
  </si>
  <si>
    <t>Расчет выбросов загрязняющих веществ в атмосферу при покрасочных работах..</t>
  </si>
  <si>
    <r>
      <t>M</t>
    </r>
    <r>
      <rPr>
        <b/>
        <vertAlign val="subscript"/>
        <sz val="12"/>
        <color theme="1"/>
        <rFont val="Times New Roman"/>
        <family val="1"/>
        <charset val="204"/>
      </rPr>
      <t>год</t>
    </r>
    <r>
      <rPr>
        <b/>
        <sz val="12"/>
        <color theme="1"/>
        <rFont val="Times New Roman"/>
        <family val="1"/>
        <charset val="204"/>
      </rPr>
      <t xml:space="preserve"> = В</t>
    </r>
    <r>
      <rPr>
        <b/>
        <vertAlign val="subscript"/>
        <sz val="12"/>
        <color theme="1"/>
        <rFont val="Times New Roman"/>
        <family val="1"/>
        <charset val="204"/>
      </rPr>
      <t xml:space="preserve">г </t>
    </r>
    <r>
      <rPr>
        <b/>
        <sz val="12"/>
        <color theme="1"/>
        <rFont val="Times New Roman"/>
        <family val="1"/>
        <charset val="204"/>
      </rPr>
      <t>× К</t>
    </r>
    <r>
      <rPr>
        <b/>
        <vertAlign val="subscript"/>
        <sz val="12"/>
        <color theme="1"/>
        <rFont val="Times New Roman"/>
        <family val="1"/>
        <charset val="204"/>
      </rPr>
      <t>m</t>
    </r>
    <r>
      <rPr>
        <b/>
        <vertAlign val="superscript"/>
        <sz val="12"/>
        <color theme="1"/>
        <rFont val="Times New Roman"/>
        <family val="1"/>
        <charset val="204"/>
      </rPr>
      <t>x</t>
    </r>
    <r>
      <rPr>
        <b/>
        <sz val="12"/>
        <color theme="1"/>
        <rFont val="Times New Roman"/>
        <family val="1"/>
        <charset val="204"/>
      </rPr>
      <t xml:space="preserve"> /10</t>
    </r>
    <r>
      <rPr>
        <b/>
        <vertAlign val="superscript"/>
        <sz val="12"/>
        <color theme="1"/>
        <rFont val="Times New Roman"/>
        <family val="1"/>
        <charset val="204"/>
      </rPr>
      <t>6</t>
    </r>
    <r>
      <rPr>
        <b/>
        <sz val="12"/>
        <color theme="1"/>
        <rFont val="Times New Roman"/>
        <family val="1"/>
        <charset val="204"/>
      </rPr>
      <t xml:space="preserve"> х (1-n), т/год,</t>
    </r>
  </si>
  <si>
    <r>
      <t>M</t>
    </r>
    <r>
      <rPr>
        <b/>
        <vertAlign val="subscript"/>
        <sz val="12"/>
        <color theme="1"/>
        <rFont val="Times New Roman"/>
        <family val="1"/>
        <charset val="204"/>
      </rPr>
      <t>сек</t>
    </r>
    <r>
      <rPr>
        <b/>
        <sz val="12"/>
        <color theme="1"/>
        <rFont val="Times New Roman"/>
        <family val="1"/>
        <charset val="204"/>
      </rPr>
      <t xml:space="preserve"> = В</t>
    </r>
    <r>
      <rPr>
        <b/>
        <vertAlign val="subscript"/>
        <sz val="12"/>
        <color theme="1"/>
        <rFont val="Times New Roman"/>
        <family val="1"/>
        <charset val="204"/>
      </rPr>
      <t xml:space="preserve">ч </t>
    </r>
    <r>
      <rPr>
        <b/>
        <sz val="12"/>
        <color theme="1"/>
        <rFont val="Times New Roman"/>
        <family val="1"/>
        <charset val="204"/>
      </rPr>
      <t>× К</t>
    </r>
    <r>
      <rPr>
        <b/>
        <vertAlign val="subscript"/>
        <sz val="12"/>
        <color theme="1"/>
        <rFont val="Times New Roman"/>
        <family val="1"/>
        <charset val="204"/>
      </rPr>
      <t>m</t>
    </r>
    <r>
      <rPr>
        <b/>
        <vertAlign val="superscript"/>
        <sz val="12"/>
        <color theme="1"/>
        <rFont val="Times New Roman"/>
        <family val="1"/>
        <charset val="204"/>
      </rPr>
      <t>x</t>
    </r>
    <r>
      <rPr>
        <b/>
        <sz val="12"/>
        <color theme="1"/>
        <rFont val="Times New Roman"/>
        <family val="1"/>
        <charset val="204"/>
      </rPr>
      <t xml:space="preserve"> / 3600 х (1-n), г/с,</t>
    </r>
  </si>
  <si>
    <r>
      <t>К</t>
    </r>
    <r>
      <rPr>
        <vertAlign val="subscript"/>
        <sz val="12"/>
        <color theme="1"/>
        <rFont val="Times New Roman"/>
        <family val="1"/>
        <charset val="204"/>
      </rPr>
      <t>m</t>
    </r>
    <r>
      <rPr>
        <vertAlign val="superscript"/>
        <sz val="12"/>
        <color theme="1"/>
        <rFont val="Times New Roman"/>
        <family val="1"/>
        <charset val="204"/>
      </rPr>
      <t>x</t>
    </r>
    <r>
      <rPr>
        <sz val="12"/>
        <color theme="1"/>
        <rFont val="Times New Roman"/>
        <family val="1"/>
        <charset val="204"/>
      </rPr>
      <t xml:space="preserve"> - удельный показатель выделяемого загрязняющего вещества на 1 кг расходуемых сварочных материалов, г/кг;</t>
    </r>
  </si>
  <si>
    <t>Расчет выбросов загрязняющих веществ при проведении сварочных работах…..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</si>
  <si>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</si>
  <si>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</si>
  <si>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</si>
  <si>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</si>
  <si>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</si>
  <si>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</si>
  <si>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</si>
  <si>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</si>
  <si>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</si>
  <si>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1.9. Расчет выбросов при сварке полиэтиленовых труб</t>
  </si>
  <si>
    <t>1.10.</t>
  </si>
  <si>
    <t>Расчет выбросов загрязняющих веществ при проведении буровых работ…......................................…..</t>
  </si>
  <si>
    <t>Расчет выбросов загрязняющих веществ при погрузочно-разгрузочных работах и хранении на отвалах и складах…................................................................…..</t>
  </si>
  <si>
    <t>1.11.</t>
  </si>
  <si>
    <t>1.12.</t>
  </si>
  <si>
    <t>1.13.</t>
  </si>
  <si>
    <t>Выбросы пыли от складов песчанного и щебенистого грунта…............................</t>
  </si>
  <si>
    <t>1.14.</t>
  </si>
  <si>
    <t>Расчет выбросов загрязняющих веществ от заправки техники…............................</t>
  </si>
  <si>
    <t>1. Сборник методик по расчету выбросов вредных веществ в атмосферу различными производствами – Алматы: "КазЭКОЭКСП", 1996.</t>
  </si>
  <si>
    <t xml:space="preserve">   Расчет выбросов загрязняющих веществ произведен по справочному пособию [1].</t>
  </si>
  <si>
    <t xml:space="preserve">   Валовые выбросы в атмосферу углеводородов определяются по формуле:</t>
  </si>
  <si>
    <t>Uу – объем битума (т/год);</t>
  </si>
  <si>
    <t>Му – удельный выброс углеводородов, принимается равным 1 кг на 1 тонну битума.</t>
  </si>
  <si>
    <t>Пв = Uу х Му/1000, т/год</t>
  </si>
  <si>
    <r>
      <t xml:space="preserve">   Секундный выброс углеводородов предельных С</t>
    </r>
    <r>
      <rPr>
        <vertAlign val="subscript"/>
        <sz val="14"/>
        <color theme="1"/>
        <rFont val="Times New Roman"/>
        <family val="1"/>
        <charset val="204"/>
      </rPr>
      <t>12</t>
    </r>
    <r>
      <rPr>
        <sz val="14"/>
        <color theme="1"/>
        <rFont val="Times New Roman"/>
        <family val="1"/>
        <charset val="204"/>
      </rPr>
      <t>-С</t>
    </r>
    <r>
      <rPr>
        <vertAlign val="subscript"/>
        <sz val="14"/>
        <color theme="1"/>
        <rFont val="Times New Roman"/>
        <family val="1"/>
        <charset val="204"/>
      </rPr>
      <t xml:space="preserve">19 </t>
    </r>
    <r>
      <rPr>
        <sz val="14"/>
        <color theme="1"/>
        <rFont val="Times New Roman"/>
        <family val="1"/>
        <charset val="204"/>
      </rPr>
      <t>рассчитывается исходя из времени нагрева битума.</t>
    </r>
  </si>
  <si>
    <t>Пс = Пв х 1000000/ (Т х 3600), г/сек</t>
  </si>
  <si>
    <t>Т – время работы, ч/год.</t>
  </si>
  <si>
    <t>1.15.</t>
  </si>
  <si>
    <t>Расчет выброса загрязняющих веществ при разогреве и нанесении битума…............................</t>
  </si>
  <si>
    <t>Расчет выбросов ЗВ при  работе и движении техники по территории…............................</t>
  </si>
  <si>
    <r>
      <t>G</t>
    </r>
    <r>
      <rPr>
        <vertAlign val="superscript"/>
        <sz val="10"/>
        <color theme="1"/>
        <rFont val="Times New Roman"/>
        <family val="1"/>
        <charset val="204"/>
      </rPr>
      <t>мах</t>
    </r>
    <r>
      <rPr>
        <vertAlign val="subscript"/>
        <sz val="10"/>
        <color theme="1"/>
        <rFont val="Times New Roman"/>
        <family val="1"/>
        <charset val="204"/>
      </rPr>
      <t>б.а/м</t>
    </r>
  </si>
  <si>
    <t>Углеводороды  предельные С12-С19</t>
  </si>
  <si>
    <r>
      <t>G</t>
    </r>
    <r>
      <rPr>
        <vertAlign val="subscript"/>
        <sz val="9"/>
        <color theme="1"/>
        <rFont val="Times New Roman"/>
        <family val="1"/>
        <charset val="204"/>
      </rPr>
      <t>1</t>
    </r>
  </si>
  <si>
    <t>1.2. Расчет выбросов загрязняющих веществ при погрузочных работах экскаватором</t>
  </si>
  <si>
    <t xml:space="preserve">При работе экскаваторов пыль выделяется, главным образом, при погрузке материала в автосамосвалы. </t>
  </si>
  <si>
    <t xml:space="preserve">Мгод = qуд.э. (3,6 х y х Е х Кэ / tц) х Тр х К1 х K2 х 10-3 x (1-z), т/год  </t>
  </si>
  <si>
    <t xml:space="preserve">Мсек = [qуд х y х Е х Кэ х К1 х K2 /(1/3 tц)] x (1-z), г/с </t>
  </si>
  <si>
    <t>qуд.э. - удельное выделение твердых частиц (пыли) с 1 т отгружаемого (перегружаемого) материала, г/м3 (таблица 17) [1];</t>
  </si>
  <si>
    <t xml:space="preserve">Y - плотность пород, т/м3; </t>
  </si>
  <si>
    <t>Е - вместимость ковша экскаватора, м3;</t>
  </si>
  <si>
    <t>Тг - чистое время работы экскаватора в год, ч.;</t>
  </si>
  <si>
    <t>Кэ – коэффициент экскавации (таблица 18) [1];</t>
  </si>
  <si>
    <t>tц - время цикла экскаватора, с;</t>
  </si>
  <si>
    <t xml:space="preserve">K1 - коэффициент, учитывающий скорость ветра, (м/с),  </t>
  </si>
  <si>
    <t>К2 - коэффициент, учитывающий влажность материала.</t>
  </si>
  <si>
    <t>Таблица 3 - Выбросы ЗВ при работе авторанспортной техники (не нормируются)</t>
  </si>
  <si>
    <t>Таблица 1- Нормируемые выбросы ЗВ от источников загрязнения при строительстве комбината</t>
  </si>
  <si>
    <t>Автобетоно-смеситель</t>
  </si>
  <si>
    <r>
      <t xml:space="preserve">C4 – коэффициент, учитывающий профиль поверхности материала на платформе и определяемый как соотношение  </t>
    </r>
    <r>
      <rPr>
        <sz val="14"/>
        <color theme="1"/>
        <rFont val="Times New Roman"/>
        <family val="1"/>
        <charset val="204"/>
      </rPr>
      <t>Fфакт/F</t>
    </r>
  </si>
  <si>
    <r>
      <t>С</t>
    </r>
    <r>
      <rPr>
        <vertAlign val="subscript"/>
        <sz val="10"/>
        <color theme="1"/>
        <rFont val="Times New Roman"/>
        <family val="1"/>
        <charset val="204"/>
      </rPr>
      <t>1</t>
    </r>
  </si>
  <si>
    <r>
      <t>С</t>
    </r>
    <r>
      <rPr>
        <vertAlign val="subscript"/>
        <sz val="10"/>
        <color theme="1"/>
        <rFont val="Times New Roman"/>
        <family val="1"/>
        <charset val="204"/>
      </rPr>
      <t>2</t>
    </r>
  </si>
  <si>
    <r>
      <t>С</t>
    </r>
    <r>
      <rPr>
        <vertAlign val="subscript"/>
        <sz val="10"/>
        <color theme="1"/>
        <rFont val="Times New Roman"/>
        <family val="1"/>
        <charset val="204"/>
      </rPr>
      <t>3</t>
    </r>
  </si>
  <si>
    <r>
      <t>С</t>
    </r>
    <r>
      <rPr>
        <vertAlign val="subscript"/>
        <sz val="10"/>
        <color theme="1"/>
        <rFont val="Times New Roman"/>
        <family val="1"/>
        <charset val="204"/>
      </rPr>
      <t>4</t>
    </r>
  </si>
  <si>
    <r>
      <t>С</t>
    </r>
    <r>
      <rPr>
        <vertAlign val="subscript"/>
        <sz val="10"/>
        <color theme="1"/>
        <rFont val="Times New Roman"/>
        <family val="1"/>
        <charset val="204"/>
      </rPr>
      <t>5</t>
    </r>
  </si>
  <si>
    <r>
      <t>С</t>
    </r>
    <r>
      <rPr>
        <vertAlign val="subscript"/>
        <sz val="10"/>
        <color theme="1"/>
        <rFont val="Times New Roman"/>
        <family val="1"/>
        <charset val="204"/>
      </rPr>
      <t>6</t>
    </r>
  </si>
  <si>
    <r>
      <t>С</t>
    </r>
    <r>
      <rPr>
        <vertAlign val="subscript"/>
        <sz val="10"/>
        <color theme="1"/>
        <rFont val="Times New Roman"/>
        <family val="1"/>
        <charset val="204"/>
      </rPr>
      <t>7</t>
    </r>
  </si>
  <si>
    <r>
      <t>q</t>
    </r>
    <r>
      <rPr>
        <vertAlign val="superscript"/>
        <sz val="10"/>
        <color theme="1"/>
        <rFont val="Times New Roman"/>
        <family val="1"/>
        <charset val="204"/>
      </rPr>
      <t>/</t>
    </r>
    <r>
      <rPr>
        <sz val="10"/>
        <color theme="1"/>
        <rFont val="Times New Roman"/>
        <family val="1"/>
        <charset val="204"/>
      </rPr>
      <t>2</t>
    </r>
  </si>
  <si>
    <r>
      <t>F</t>
    </r>
    <r>
      <rPr>
        <vertAlign val="subscript"/>
        <sz val="10"/>
        <color theme="1"/>
        <rFont val="Times New Roman"/>
        <family val="1"/>
        <charset val="204"/>
      </rPr>
      <t>0</t>
    </r>
  </si>
  <si>
    <t xml:space="preserve">                         </t>
  </si>
  <si>
    <t>Таблица 1.1 – Выбросы пыли при работе бульдозера при снятии техногенного грунта</t>
  </si>
  <si>
    <t>Выбросы пыли от склада техногенного грунта…...................................................</t>
  </si>
  <si>
    <r>
      <t>Пыль неорг.с сод-м SiO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70-20%</t>
    </r>
  </si>
  <si>
    <r>
      <t>Пыль неорг.с сод-м SiO</t>
    </r>
    <r>
      <rPr>
        <b/>
        <vertAlign val="subscript"/>
        <sz val="10"/>
        <rFont val="Times New Roman"/>
        <family val="1"/>
        <charset val="204"/>
      </rPr>
      <t>2</t>
    </r>
    <r>
      <rPr>
        <b/>
        <sz val="10"/>
        <rFont val="Times New Roman"/>
        <family val="1"/>
        <charset val="204"/>
      </rPr>
      <t xml:space="preserve"> 70-20%</t>
    </r>
  </si>
  <si>
    <t>Планировка территории (земляные работы), насыпь местного грунта</t>
  </si>
  <si>
    <t>Планировка территории (земляные работы), выемка местного грунта</t>
  </si>
  <si>
    <t>Подсыпка из техногенного грунта на участках озелеления</t>
  </si>
  <si>
    <r>
      <t>Пыль неорг.с сод-м SiO</t>
    </r>
    <r>
      <rPr>
        <vertAlign val="sub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 70-20%</t>
    </r>
  </si>
  <si>
    <r>
      <t>Пыль неорг.с сод-м SiO</t>
    </r>
    <r>
      <rPr>
        <b/>
        <vertAlign val="subscript"/>
        <sz val="10"/>
        <color theme="1"/>
        <rFont val="Times New Roman"/>
        <family val="1"/>
        <charset val="204"/>
      </rPr>
      <t>2</t>
    </r>
    <r>
      <rPr>
        <b/>
        <sz val="10"/>
        <color theme="1"/>
        <rFont val="Times New Roman"/>
        <family val="1"/>
        <charset val="204"/>
      </rPr>
      <t xml:space="preserve"> 70-20%</t>
    </r>
  </si>
  <si>
    <t>Планировка территории (земляные работы), насыпь</t>
  </si>
  <si>
    <t>Досыпка техногенного грунта на откосы</t>
  </si>
  <si>
    <t>Планировка территории (земляные работы), выемка</t>
  </si>
  <si>
    <t>Устройство присыпных обочин из местного грунта</t>
  </si>
  <si>
    <t>Устройство насыпи из местного грунта</t>
  </si>
  <si>
    <t>плотность принята 2,8 т/м3</t>
  </si>
  <si>
    <t>Планировка территории (земляные работы), насыпь местным грунтом</t>
  </si>
  <si>
    <t xml:space="preserve">Планировка откосов кюветов, дна кюветов, обочин </t>
  </si>
  <si>
    <t>Устройство выемки под кюветы</t>
  </si>
  <si>
    <t xml:space="preserve">Планировка верха земляного полотна, откосов земляного полотна, откосов кюветов, дна кюветов, обочин </t>
  </si>
  <si>
    <t>Планировка территории (земляные работы), насыпь из местного грунта</t>
  </si>
  <si>
    <t>Итого по ист.707901:</t>
  </si>
  <si>
    <t>Планировка и уплотнение грунтового основания</t>
  </si>
  <si>
    <t>Планировка верха земляного полотна, откосов насыпи</t>
  </si>
  <si>
    <t>Планировка верха земляного полотна, откосов насыпи, откосов выемки, откосов кюветов</t>
  </si>
  <si>
    <t>Устройство выемки, кюветы</t>
  </si>
  <si>
    <t>Итого по ист.709101:</t>
  </si>
  <si>
    <t>Итого по ист.7098:</t>
  </si>
  <si>
    <t>709901</t>
  </si>
  <si>
    <t>Итого по ист.7102:</t>
  </si>
  <si>
    <t>710501</t>
  </si>
  <si>
    <t>Планировка поверхности основания вручную под устройства лотка</t>
  </si>
  <si>
    <r>
      <t>Углеводороды предельные С</t>
    </r>
    <r>
      <rPr>
        <vertAlign val="subscript"/>
        <sz val="10"/>
        <color theme="1"/>
        <rFont val="Times New Roman"/>
        <family val="1"/>
        <charset val="204"/>
      </rPr>
      <t>12</t>
    </r>
    <r>
      <rPr>
        <sz val="10"/>
        <color theme="1"/>
        <rFont val="Times New Roman"/>
        <family val="1"/>
        <charset val="204"/>
      </rPr>
      <t>-С</t>
    </r>
    <r>
      <rPr>
        <vertAlign val="subscript"/>
        <sz val="10"/>
        <color theme="1"/>
        <rFont val="Times New Roman"/>
        <family val="1"/>
        <charset val="204"/>
      </rPr>
      <t>19</t>
    </r>
  </si>
  <si>
    <t>Планировка верха земляного полотна (выемка местного грунта)</t>
  </si>
  <si>
    <t>Планировка верха земляного полотна (насыпь местного грунта)</t>
  </si>
  <si>
    <t>Планировка втерритории, откосов выемки</t>
  </si>
  <si>
    <t>Проезд «Вспомогательный 6 _Склад непригодного грунта»</t>
  </si>
  <si>
    <t>712101</t>
  </si>
  <si>
    <t>Итого по ист.712101:</t>
  </si>
  <si>
    <t>712102</t>
  </si>
  <si>
    <t>Итого по ист.712102:</t>
  </si>
  <si>
    <t xml:space="preserve">Укладка в штабель, формирование </t>
  </si>
  <si>
    <t>Устройство дорожной одежды</t>
  </si>
  <si>
    <t>Итого по ист.712103:</t>
  </si>
  <si>
    <t>на озеленение</t>
  </si>
  <si>
    <t>Временные площадки грунтов</t>
  </si>
  <si>
    <t xml:space="preserve">Пыль неорган. 70-20% двуокиси кремния </t>
  </si>
  <si>
    <t>плотность щебня принята 2,8 т/м3</t>
  </si>
  <si>
    <t>высота 5 м</t>
  </si>
  <si>
    <t>Погрузка с площадки</t>
  </si>
  <si>
    <t>Площадка временного складирования щебенистого грунта №1 (S=500 м2)</t>
  </si>
  <si>
    <t>Площадка временного складирования щебенистого грунта №1 (S=3000 м2)</t>
  </si>
  <si>
    <t>Площадка временного складирования щебенистого грунта №1 (S=1500 м2)</t>
  </si>
  <si>
    <t>глина</t>
  </si>
  <si>
    <t>плотность глины принята 2,7 т/м3</t>
  </si>
  <si>
    <t>Укладка глинистого грунта в аккумулирующей емкости</t>
  </si>
  <si>
    <t>Суглинистый грунт</t>
  </si>
  <si>
    <t xml:space="preserve">Площадка временного складирования суглинистого грунта №3 (S=500 м2) </t>
  </si>
  <si>
    <t>Примечание: п.2.5 "Методики расчета выбросов загрязняющих веществ в атмосферу от предприятий по производству строительных материалов" (Приложение №11к Приказу  Министра охраны окружающей среды Республики Казахстан от «18» 04 2008 года №100 -п) при статическом хранении и пересыпке песка с влажностью 3% и более выбросы пыли принимаются равными 0. Для других сыпучих строительных материалов пыление при статическом хранении и пересыпке принимается равным 0 при влажности ≥20%.</t>
  </si>
  <si>
    <t>Сбоз, г/м3</t>
  </si>
  <si>
    <t>Сбвл, г/м3</t>
  </si>
  <si>
    <t>J, г/м3</t>
  </si>
  <si>
    <t>% содер-жания</t>
  </si>
  <si>
    <t>АКЦИОНЕРНОЕ ОБЩЕСТВО «ПОЛИМЕТАЛЛ ИНЖИНИРИНГ»</t>
  </si>
  <si>
    <t>ТОО «Ертис гидрометаллургический комбинат»</t>
  </si>
  <si>
    <t xml:space="preserve">СТРОИТЕЛЬСТВО ГИДРОМЕТАЛЛУРГИЧЕСКОГО ЦЕХА И ОБЪЕКТОВ ИНФРАСТРУКТУРЫ ПРЕДПРИЯТИЯ </t>
  </si>
  <si>
    <t>ОСНОВНЫЕ ПРОЕКТНЫЕ РЕШЕНИЯ</t>
  </si>
  <si>
    <t>Раздел 14. Отчет о возможных воздействиях</t>
  </si>
  <si>
    <t>081231001-081-00-03-001-00-ОоВВ</t>
  </si>
  <si>
    <t>***</t>
  </si>
  <si>
    <t xml:space="preserve">Расчет выбросов загрязняющих веществ </t>
  </si>
  <si>
    <t>ТОВАРИЩЕСТВО С ОГРАНИЧЕННОЙ ОТВЕТСТВЕННОСТЬЮ</t>
  </si>
  <si>
    <t>«ЛАБОРАТОРИЯ-АТМОСФЕРА»</t>
  </si>
  <si>
    <t>Лицензия МООС 01039Р от 14.07.2007 г.</t>
  </si>
  <si>
    <t xml:space="preserve">СТ РК ISO 9001-2016, СТ РК ISO 14001-2016, СТ РК ISO 45001-2019  </t>
  </si>
  <si>
    <t xml:space="preserve"> ТОО "ЕРТИС ГИДРОМЕТЛЛУРГИЧЕСКИЙ КОМБИНАТ"</t>
  </si>
  <si>
    <t>ОТЧЕТ О ВОЗМОЖНЫХ ВОЗДЕЙСТВИЯХ (ОоВВ)</t>
  </si>
  <si>
    <t xml:space="preserve">Генеральный директор </t>
  </si>
  <si>
    <t xml:space="preserve"> ТОО «Ертис гидрометаллургический</t>
  </si>
  <si>
    <t xml:space="preserve"> комбинат»</t>
  </si>
  <si>
    <t xml:space="preserve">Директор Филиала </t>
  </si>
  <si>
    <t>АО «Полиметалл Инжиниринг»</t>
  </si>
  <si>
    <t>в Республике Казахстан</t>
  </si>
  <si>
    <t>С.А. Деннер</t>
  </si>
  <si>
    <t xml:space="preserve">Директор </t>
  </si>
  <si>
    <t>ТОО «Лаборатория-Атмосфера»</t>
  </si>
  <si>
    <t>О.А.Ткаченко</t>
  </si>
  <si>
    <t>г.Усть-Каменогорск, 2025 г.</t>
  </si>
  <si>
    <t>СПИСОК  ИСПОЛНИТЕЛЕЙ</t>
  </si>
  <si>
    <t>Начальника отдела ППиН</t>
  </si>
  <si>
    <t xml:space="preserve">               </t>
  </si>
  <si>
    <t>Н.Ю.Кинас</t>
  </si>
  <si>
    <t xml:space="preserve">Инженер-эколог </t>
  </si>
  <si>
    <t xml:space="preserve">             </t>
  </si>
  <si>
    <t>И.Г.Подскребко</t>
  </si>
  <si>
    <t>стр.</t>
  </si>
  <si>
    <t>1.</t>
  </si>
  <si>
    <t>Расчет выбросов загрязняющих веществ при строительстве комбината</t>
  </si>
  <si>
    <t>2.</t>
  </si>
  <si>
    <t>Расчет выбросов загрязняющих веществ при строительстве шламонакопителя</t>
  </si>
  <si>
    <t>3.</t>
  </si>
  <si>
    <t>Расчет выбросов загрязняющих веществ при строительстве технологических сетей</t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</si>
  <si>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пересыпка сыпучих и пылящих материалов (ист.7097);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</si>
  <si>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покрасочные работы (ист.7098);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</si>
  <si>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сварочные работы, в том числе сварка полиэтиленовых труб (ист.7099);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</si>
  <si>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заправка техники топливозаправщиком (ист.7101).</t>
    </r>
  </si>
  <si>
    <r>
      <t>Ø</t>
    </r>
    <r>
      <rPr>
        <sz val="7"/>
        <color rgb="FF000000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земляные работы (ист.7102);</t>
    </r>
  </si>
  <si>
    <r>
      <t>Ø</t>
    </r>
    <r>
      <rPr>
        <sz val="7"/>
        <color rgb="FF000000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транспортные работы (ист.7103);</t>
    </r>
  </si>
  <si>
    <r>
      <t>Ø</t>
    </r>
    <r>
      <rPr>
        <sz val="7"/>
        <color rgb="FF000000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покрасочные работы (ист.7104);</t>
    </r>
  </si>
  <si>
    <r>
      <t>Ø</t>
    </r>
    <r>
      <rPr>
        <sz val="7"/>
        <color rgb="FF000000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сварочные работы, в том числе сварка полиэтиленовых труб (ист.7105);</t>
    </r>
  </si>
  <si>
    <r>
      <rPr>
        <sz val="7"/>
        <color theme="1"/>
        <rFont val="Times New Roman"/>
        <family val="1"/>
        <charset val="204"/>
      </rPr>
      <t xml:space="preserve">  </t>
    </r>
    <r>
      <rPr>
        <i/>
        <u/>
        <sz val="14"/>
        <color theme="1"/>
        <rFont val="Times New Roman"/>
        <family val="1"/>
        <charset val="204"/>
      </rPr>
      <t>•	Проезд «Вспомогательный 6. Склад непригодного грунта»: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</si>
  <si>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земляные работы (ист.7121);</t>
    </r>
  </si>
  <si>
    <t xml:space="preserve">Площадка временного складирования щебенистого грунта №1 (S=3000 м2) </t>
  </si>
  <si>
    <t>•	Площадка временного складирования щебенистого грунта №1 (S=1500 м2)</t>
  </si>
  <si>
    <t>Список литературы</t>
  </si>
  <si>
    <t>1. РНД 211.2.02.04-2004. Методика расчета выбросов загрязняющих веществ в атмосферу от стационарных дизельных установок.</t>
  </si>
  <si>
    <t xml:space="preserve">где ei – выброс i-го вредного вещества на единицу полезной работы стационарной дизельной </t>
  </si>
  <si>
    <t xml:space="preserve">             установки на режиме номинальной мощности, г/Квт ч, (табл. 3.15);</t>
  </si>
  <si>
    <t xml:space="preserve">      Pэ – эксплуатационная мощность стационарной дизельной установки,  кВт;</t>
  </si>
  <si>
    <t xml:space="preserve">      qi – выброс i-го вредного вещества, г/кг топлива, (табл. 3.16);</t>
  </si>
  <si>
    <t xml:space="preserve">      Вгод – расход топлива стационарной дизельной установкой за год, т.</t>
  </si>
  <si>
    <t>всего</t>
  </si>
  <si>
    <t>Б</t>
  </si>
  <si>
    <t>Углеводороды</t>
  </si>
  <si>
    <t>Углерод черный</t>
  </si>
  <si>
    <t>Бенз(а)пирен</t>
  </si>
  <si>
    <t>0703</t>
  </si>
  <si>
    <t>Применяемое топлива</t>
  </si>
  <si>
    <t>Наименование источника загрязнения</t>
  </si>
  <si>
    <t>Группа установки</t>
  </si>
  <si>
    <t>Количество техники</t>
  </si>
  <si>
    <t xml:space="preserve">в одновре-менной работе  Kвр </t>
  </si>
  <si>
    <t>Эксплуата-ционная мощьность Рэ, кВт</t>
  </si>
  <si>
    <t>Расход  топлива, т/год</t>
  </si>
  <si>
    <t>Удельное выделение</t>
  </si>
  <si>
    <t>ei , гкВт/ч.</t>
  </si>
  <si>
    <t>qi , г/кг</t>
  </si>
  <si>
    <t>700702</t>
  </si>
  <si>
    <t>710602</t>
  </si>
  <si>
    <t>711902</t>
  </si>
  <si>
    <t>1.14. Расчет выброса загрязняющих веществ при разогреве и нанесении битума</t>
  </si>
  <si>
    <t>Результаты расчетов выбросов приведены в таблице 1.14.</t>
  </si>
  <si>
    <t>Таблица 1.14 -  Выбросы вредных веществ при разогреве битума</t>
  </si>
  <si>
    <t>Таблица 1.12.2 – Выбросы пыли от складов песчанного и щебенистого грунта</t>
  </si>
  <si>
    <t xml:space="preserve">   1.12. Расчет выбросов загрязняющих веществ при погрузочно-разгрузочных работах и хранении на отвалах и складах</t>
  </si>
  <si>
    <t>Данные для расчета выбросов и результаты расчета приведены в таблица 1.12.1 и 1.12.2</t>
  </si>
  <si>
    <t>1.15. Расчет выбросов ЗВ при  работе и движении техники по территории</t>
  </si>
  <si>
    <t>Таблица 1.15 - Результаты расчета выбросов загрязняющих веществ от автотранспорта</t>
  </si>
  <si>
    <t>1.12.1.</t>
  </si>
  <si>
    <t>1.12.2.</t>
  </si>
  <si>
    <t>Расчет выбросов при сварке полиэтиленовых труб…..........................................</t>
  </si>
  <si>
    <t>Расчет выбросов загрязняющих веществ при работе дизельных установок и буровых станков….........................................................................................…..</t>
  </si>
  <si>
    <t>Мсек =   Kвр х ei х Рэ /3600, г/с</t>
  </si>
  <si>
    <t>Мгод =   Kвр х qi х Bгод/1000, т/год</t>
  </si>
  <si>
    <t>1.11 Расчет выбросов загрязняющих веществ от дизельных установок и буровых станков</t>
  </si>
  <si>
    <t>703001</t>
  </si>
  <si>
    <t>Итого по ист.703001:</t>
  </si>
  <si>
    <t>Итого по ист.703002:</t>
  </si>
  <si>
    <t>7034</t>
  </si>
  <si>
    <t>Итого по ист.7034:</t>
  </si>
  <si>
    <t>Итого по ист.7064:</t>
  </si>
  <si>
    <t>Итого по ист.7100:</t>
  </si>
  <si>
    <t>Итого по ист.7112:</t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</si>
  <si>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транспортные работы (ист.7034);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</si>
  <si>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заправка техники топливозаправщиком (ист.7041).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</si>
  <si>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Склад техногенного грунта (ист.7052).</t>
    </r>
  </si>
  <si>
    <r>
      <rPr>
        <sz val="7"/>
        <color theme="1"/>
        <rFont val="Times New Roman"/>
        <family val="1"/>
        <charset val="204"/>
      </rPr>
      <t xml:space="preserve"> </t>
    </r>
    <r>
      <rPr>
        <i/>
        <u/>
        <sz val="14"/>
        <color theme="1"/>
        <rFont val="Times New Roman"/>
        <family val="1"/>
        <charset val="204"/>
      </rPr>
      <t>•	Площадка временного складирования щебенистого грунта №1 (S=500 м2) (ист.7064).</t>
    </r>
  </si>
  <si>
    <r>
      <rPr>
        <sz val="7"/>
        <color theme="1"/>
        <rFont val="Times New Roman"/>
        <family val="1"/>
        <charset val="204"/>
      </rPr>
      <t xml:space="preserve"> </t>
    </r>
    <r>
      <rPr>
        <i/>
        <u/>
        <sz val="14"/>
        <color theme="1"/>
        <rFont val="Times New Roman"/>
        <family val="1"/>
        <charset val="204"/>
      </rPr>
      <t>•	Площадка временного складирования щебенистого грунта №1 (S=3000 м2) (ист.7082).</t>
    </r>
  </si>
  <si>
    <r>
      <rPr>
        <sz val="7"/>
        <color theme="1"/>
        <rFont val="Times New Roman"/>
        <family val="1"/>
        <charset val="204"/>
      </rPr>
      <t xml:space="preserve"> </t>
    </r>
    <r>
      <rPr>
        <i/>
        <u/>
        <sz val="14"/>
        <color theme="1"/>
        <rFont val="Times New Roman"/>
        <family val="1"/>
        <charset val="204"/>
      </rPr>
      <t>•	Площадка временного складирования щебенистого грунта №1 (S=150 м2) (ист.7100).</t>
    </r>
  </si>
  <si>
    <r>
      <rPr>
        <sz val="7"/>
        <color theme="1"/>
        <rFont val="Times New Roman"/>
        <family val="1"/>
        <charset val="204"/>
      </rPr>
      <t xml:space="preserve"> </t>
    </r>
    <r>
      <rPr>
        <i/>
        <u/>
        <sz val="14"/>
        <color theme="1"/>
        <rFont val="Times New Roman"/>
        <family val="1"/>
        <charset val="204"/>
      </rPr>
      <t>•	Площадка временного складирования щебенистого грунта №1 (S=500 м2) (ист.7112).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</si>
  <si>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Автотранспорт (ист.7122).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</si>
  <si>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ДЭС-50 кВт ММЗ Д-246 (Ф) (ист.1002).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</si>
  <si>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земляные работы (ист.7030);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</si>
  <si>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Комплекс объектов инженерного обеспечения (КОИО):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</si>
  <si>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Административно-бытовой корпус (АБК):</t>
    </r>
  </si>
  <si>
    <r>
      <t>·</t>
    </r>
    <r>
      <rPr>
        <sz val="7"/>
        <color theme="1"/>
        <rFont val="Times New Roman"/>
        <family val="1"/>
        <charset val="204"/>
      </rPr>
      <t xml:space="preserve">      </t>
    </r>
    <r>
      <rPr>
        <i/>
        <u/>
        <sz val="14"/>
        <color theme="1"/>
        <rFont val="Times New Roman"/>
        <family val="1"/>
        <charset val="204"/>
      </rPr>
      <t>Гидрометаллургический цех (ГМЦ):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</si>
  <si>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Комплекс объектов охранного и пожарного назначения (КООиПН):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</si>
  <si>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Комплекс по производству сжатого воздуха и кислорода (КпоПСВиК):</t>
    </r>
  </si>
  <si>
    <t xml:space="preserve">Расчет выбросов загрязняющих веществ при погрузочных работах экскаватором </t>
  </si>
  <si>
    <t>Таблица 1.2 - Расчет выбросов загрязняющих веществ  при погрузочных работах экскаватором</t>
  </si>
  <si>
    <t>Пересыпка смеси Мастер Топ 100 (смесь для упро-чнения бетона)</t>
  </si>
  <si>
    <t>Устройство уплот-нённого щебёноч-ного основания</t>
  </si>
  <si>
    <t>Данные для расчета выбросов и результаты расчета приведены в таблице 1.6.</t>
  </si>
  <si>
    <t>Таблица 1.8. - Выбросы загрязняющих веществ при проведении сварочных работ</t>
  </si>
  <si>
    <t xml:space="preserve">     Количество выбрасываемых загрязняющих веществ определяется по формулам [1]: </t>
  </si>
  <si>
    <r>
      <t xml:space="preserve">      K</t>
    </r>
    <r>
      <rPr>
        <vertAlign val="subscript"/>
        <sz val="12"/>
        <color theme="1"/>
        <rFont val="Times New Roman"/>
        <family val="1"/>
        <charset val="204"/>
      </rPr>
      <t>вр</t>
    </r>
    <r>
      <rPr>
        <sz val="12"/>
        <color theme="1"/>
        <rFont val="Times New Roman"/>
        <family val="1"/>
        <charset val="204"/>
      </rPr>
      <t xml:space="preserve"> - количество станков в одновременной работе</t>
    </r>
  </si>
  <si>
    <t>Исходные данные для расчета и результаты расчета выбросов загрязняющих веществ  приведены в таблице 1.10.</t>
  </si>
  <si>
    <t>Таблица 1.10 - Выбросы загрязняющих вещест от дизельных электростанций и буровых станков</t>
  </si>
  <si>
    <t>Исходные данные  и результаты расчета выбросов приведены в таблице 1.12.</t>
  </si>
  <si>
    <t>Таблица 1.12.1 – Выбросы пыли от склада техногенного грунта</t>
  </si>
  <si>
    <t>G, т/час</t>
  </si>
  <si>
    <r>
      <t>G</t>
    </r>
    <r>
      <rPr>
        <vertAlign val="sub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>, т/год</t>
    </r>
  </si>
  <si>
    <t>t, ч/сут</t>
  </si>
  <si>
    <r>
      <rPr>
        <b/>
        <sz val="10"/>
        <color theme="1"/>
        <rFont val="Times New Roman"/>
        <family val="1"/>
        <charset val="204"/>
      </rPr>
      <t>Примечание</t>
    </r>
    <r>
      <rPr>
        <sz val="10"/>
        <color theme="1"/>
        <rFont val="Times New Roman"/>
        <family val="1"/>
        <charset val="204"/>
      </rPr>
      <t>: п.2.5 "Методики расчета выбросов загрязняющих веществ в атмосферу от предприятий по производству строительных материалов" (Приложение №11к Приказу  Министра охраны окружающей среды Республики Казахстан от «18» 04 2008 года №100 -п) при статическом хранении и пересыпке песка с влажностью 3% и более выбросы пыли принимаются равными 0. Для других сыпучих строительных материалов пыление при статическом хранении и пересыпке принимается равным 0 при влажности ≥20%.</t>
    </r>
  </si>
  <si>
    <t>Данные для расчета и результаты расчета выбросов вредных веществ представлены в таблице 1.13.</t>
  </si>
  <si>
    <t>1.13. Расчет выбросов загрязняющих веществ от заправки автотракторной техники</t>
  </si>
  <si>
    <t>Таблица 1.13 - Результаты расчетов выбросов от заправки автотракторной техники</t>
  </si>
  <si>
    <t xml:space="preserve">   Данные для расчета и результаты расчета выбросов вредных веществ представлены в таблице 1.15.</t>
  </si>
  <si>
    <t>Таблица 4- Общие выбросы ЗВ при строительстве комбината (без авто + авто)</t>
  </si>
  <si>
    <t>Таблица 2- Нормируемые выбросы ЗВ при строительстве комбината по загрязняющим веществам</t>
  </si>
  <si>
    <t>Книга 2 Часть 2</t>
  </si>
  <si>
    <t>на период строительных работ</t>
  </si>
  <si>
    <t>Наименование источника выброса</t>
  </si>
  <si>
    <t>Технологический процесс</t>
  </si>
  <si>
    <t>Толщина металла, мм</t>
  </si>
  <si>
    <t>Длина реза</t>
  </si>
  <si>
    <t>Время работы</t>
  </si>
  <si>
    <t>Удел. выдел. G, г/кг,  г/м</t>
  </si>
  <si>
    <t>м.п./час</t>
  </si>
  <si>
    <t>м.п./год</t>
  </si>
  <si>
    <t xml:space="preserve">Таблица 1.8.1 - Выбросы загрязняющих веществ при проведении сварочных работ </t>
  </si>
  <si>
    <t>Пыль 70-20 % SiO2</t>
  </si>
  <si>
    <t>Углерод оксид</t>
  </si>
  <si>
    <t>02</t>
  </si>
  <si>
    <t>Ручная аргонно-дуговая наплавка неплавящимся (вольфрамовым) электродом</t>
  </si>
  <si>
    <t>Сварочный пост</t>
  </si>
  <si>
    <t>Проволока</t>
  </si>
  <si>
    <t>Никель оксид</t>
  </si>
  <si>
    <t>0164</t>
  </si>
  <si>
    <t>Озон</t>
  </si>
  <si>
    <t>0326</t>
  </si>
  <si>
    <t>Медь (II) оксид</t>
  </si>
  <si>
    <t>0146</t>
  </si>
  <si>
    <t xml:space="preserve">Полуавтоматическая сварка сталей в среде углекислого газа </t>
  </si>
  <si>
    <t>Полуавтоматическая сварка меди в среде азота</t>
  </si>
  <si>
    <t>МНЖ-КГ-5-1-02-0,2</t>
  </si>
  <si>
    <t>пропан</t>
  </si>
  <si>
    <t>Газовая резка стали углеродистой</t>
  </si>
  <si>
    <t>Св-0,81Г2С</t>
  </si>
  <si>
    <t>Итого по ист.700602:</t>
  </si>
  <si>
    <t>700602</t>
  </si>
  <si>
    <t>Медь (II)</t>
  </si>
  <si>
    <t>Итого по ист.705201:</t>
  </si>
  <si>
    <t>Итого по ист.7082:</t>
  </si>
  <si>
    <t>В.В. Дудин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</si>
</sst>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000"/>
    <numFmt numFmtId="166" formatCode="0.0000000"/>
    <numFmt numFmtId="167" formatCode="0.00000"/>
    <numFmt numFmtId="168" formatCode="0.0"/>
  </numFmts>
  <fonts count="141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FF0000"/>
      <name val="Arial Cyr"/>
      <charset val="204"/>
    </font>
    <font>
      <sz val="10"/>
      <name val="Arial Cyr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9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4"/>
      <color theme="1"/>
      <name val="Wingdings"/>
      <charset val="2"/>
    </font>
    <font>
      <sz val="14"/>
      <color rgb="FF000000"/>
      <name val="Symbol"/>
      <family val="1"/>
      <charset val="2"/>
    </font>
    <font>
      <sz val="7"/>
      <color rgb="FF000000"/>
      <name val="Times New Roman"/>
      <family val="1"/>
      <charset val="204"/>
    </font>
    <font>
      <i/>
      <u/>
      <sz val="14"/>
      <color rgb="FF000000"/>
      <name val="Times New Roman"/>
      <family val="1"/>
      <charset val="204"/>
    </font>
    <font>
      <sz val="14"/>
      <color rgb="FF000000"/>
      <name val="Wingdings"/>
      <charset val="2"/>
    </font>
    <font>
      <sz val="14"/>
      <color rgb="FFEE0000"/>
      <name val="Times New Roman"/>
      <family val="1"/>
      <charset val="204"/>
    </font>
    <font>
      <b/>
      <sz val="12"/>
      <color theme="9" tint="-0.49998474074526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vertAlign val="superscript"/>
      <sz val="12"/>
      <color theme="1"/>
      <name val="Times New Roman"/>
      <family val="1"/>
      <charset val="204"/>
    </font>
    <font>
      <b/>
      <vertAlign val="subscript"/>
      <sz val="12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b/>
      <vertAlign val="subscript"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Courier New"/>
      <family val="3"/>
      <charset val="204"/>
    </font>
    <font>
      <b/>
      <sz val="16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0"/>
      <color rgb="FF7030A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1"/>
      <color theme="9" tint="-0.499984740745262"/>
      <name val="Calibri"/>
      <family val="2"/>
      <charset val="204"/>
      <scheme val="minor"/>
    </font>
    <font>
      <b/>
      <sz val="10"/>
      <color theme="5" tint="-0.249977111117893"/>
      <name val="Times New Roman"/>
      <family val="1"/>
      <charset val="204"/>
    </font>
    <font>
      <b/>
      <sz val="12"/>
      <color theme="5" tint="-0.249977111117893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0"/>
      <color theme="5" tint="-0.249977111117893"/>
      <name val="Times New Roman"/>
      <family val="1"/>
      <charset val="204"/>
    </font>
    <font>
      <sz val="11"/>
      <color theme="5" tint="-0.249977111117893"/>
      <name val="Times New Roman"/>
      <family val="1"/>
      <charset val="204"/>
    </font>
    <font>
      <b/>
      <sz val="11"/>
      <color theme="5" tint="-0.249977111117893"/>
      <name val="Times New Roman"/>
      <family val="1"/>
      <charset val="204"/>
    </font>
    <font>
      <sz val="10"/>
      <color theme="5" tint="-0.249977111117893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9" tint="-0.249977111117893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0"/>
      <color theme="9" tint="-0.499984740745262"/>
      <name val="Times New Roman"/>
      <family val="1"/>
      <charset val="204"/>
    </font>
    <font>
      <sz val="10"/>
      <color theme="1"/>
      <name val="Arial Cyr"/>
      <charset val="204"/>
    </font>
    <font>
      <sz val="16"/>
      <name val="Times New Roman"/>
      <family val="1"/>
      <charset val="204"/>
    </font>
    <font>
      <b/>
      <sz val="12"/>
      <color rgb="FF7030A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u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vertAlign val="subscript"/>
      <sz val="14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sz val="11"/>
      <color rgb="FFEE0000"/>
      <name val="Calibri"/>
      <family val="2"/>
      <charset val="204"/>
      <scheme val="minor"/>
    </font>
    <font>
      <b/>
      <i/>
      <sz val="14"/>
      <color rgb="FFEE0000"/>
      <name val="Times New Roman"/>
      <family val="1"/>
      <charset val="204"/>
    </font>
    <font>
      <sz val="9.5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b/>
      <vertAlign val="subscript"/>
      <sz val="10"/>
      <name val="Times New Roman"/>
      <family val="1"/>
      <charset val="204"/>
    </font>
    <font>
      <b/>
      <vertAlign val="subscript"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0"/>
      <color theme="9" tint="-0.499984740745262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  <font>
      <sz val="13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5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rgb="FFEE0000"/>
      <name val="Times New Roman"/>
      <family val="1"/>
      <charset val="204"/>
    </font>
    <font>
      <b/>
      <sz val="14"/>
      <color rgb="FFEE0000"/>
      <name val="Times New Roman"/>
      <family val="1"/>
      <charset val="204"/>
    </font>
    <font>
      <b/>
      <sz val="10"/>
      <color rgb="FFEE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6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0"/>
      <color theme="9" tint="-0.499984740745262"/>
      <name val="Calibri"/>
      <family val="2"/>
      <charset val="204"/>
      <scheme val="minor"/>
    </font>
    <font>
      <sz val="10"/>
      <color theme="9" tint="-0.499984740745262"/>
      <name val="Calibri"/>
      <family val="2"/>
      <charset val="204"/>
      <scheme val="minor"/>
    </font>
    <font>
      <b/>
      <sz val="10"/>
      <color theme="5" tint="-0.249977111117893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theme="9" tint="-0.249977111117893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color theme="9" tint="-0.249977111117893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24" fillId="0" borderId="0"/>
    <xf numFmtId="0" fontId="125" fillId="0" borderId="2">
      <alignment horizontal="left" vertical="top" wrapText="1" indent="2"/>
    </xf>
    <xf numFmtId="2" fontId="124" fillId="13" borderId="0">
      <alignment vertical="justify"/>
    </xf>
    <xf numFmtId="0" fontId="125" fillId="0" borderId="2" applyNumberFormat="0">
      <alignment horizontal="center" vertical="center" wrapText="1"/>
    </xf>
    <xf numFmtId="0" fontId="125" fillId="0" borderId="2" applyNumberFormat="0">
      <alignment horizontal="left" vertical="top" wrapText="1"/>
    </xf>
  </cellStyleXfs>
  <cellXfs count="1714">
    <xf numFmtId="0" fontId="0" fillId="0" borderId="0" xfId="0"/>
    <xf numFmtId="0" fontId="6" fillId="0" borderId="0" xfId="0" applyFont="1"/>
    <xf numFmtId="0" fontId="1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3" fillId="0" borderId="0" xfId="0" applyFont="1"/>
    <xf numFmtId="0" fontId="3" fillId="4" borderId="0" xfId="0" applyFont="1" applyFill="1"/>
    <xf numFmtId="0" fontId="6" fillId="0" borderId="0" xfId="0" applyFont="1" applyAlignment="1">
      <alignment horizontal="center"/>
    </xf>
    <xf numFmtId="0" fontId="25" fillId="0" borderId="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/>
    </xf>
    <xf numFmtId="0" fontId="28" fillId="0" borderId="0" xfId="0" applyFont="1"/>
    <xf numFmtId="0" fontId="29" fillId="0" borderId="0" xfId="0" applyFont="1"/>
    <xf numFmtId="49" fontId="25" fillId="0" borderId="6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0" fillId="7" borderId="0" xfId="0" applyFill="1"/>
    <xf numFmtId="0" fontId="32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5" fillId="0" borderId="1" xfId="0" applyFont="1" applyBorder="1"/>
    <xf numFmtId="0" fontId="6" fillId="7" borderId="0" xfId="0" applyFont="1" applyFill="1"/>
    <xf numFmtId="0" fontId="3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wrapText="1"/>
    </xf>
    <xf numFmtId="0" fontId="37" fillId="0" borderId="0" xfId="0" applyFont="1" applyAlignment="1">
      <alignment horizontal="center"/>
    </xf>
    <xf numFmtId="0" fontId="40" fillId="0" borderId="6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wrapText="1"/>
    </xf>
    <xf numFmtId="0" fontId="32" fillId="0" borderId="7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25" fillId="0" borderId="0" xfId="0" applyFont="1"/>
    <xf numFmtId="0" fontId="15" fillId="0" borderId="0" xfId="0" applyFont="1"/>
    <xf numFmtId="0" fontId="7" fillId="0" borderId="0" xfId="0" applyFont="1"/>
    <xf numFmtId="0" fontId="3" fillId="0" borderId="0" xfId="0" applyFont="1"/>
    <xf numFmtId="0" fontId="17" fillId="0" borderId="0" xfId="0" applyFont="1"/>
    <xf numFmtId="0" fontId="0" fillId="0" borderId="0" xfId="0" applyAlignment="1">
      <alignment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5" fillId="0" borderId="0" xfId="0" applyFont="1" applyAlignment="1">
      <alignment wrapText="1"/>
    </xf>
    <xf numFmtId="0" fontId="46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6" fillId="8" borderId="0" xfId="0" applyFont="1" applyFill="1" applyAlignment="1">
      <alignment wrapText="1"/>
    </xf>
    <xf numFmtId="0" fontId="25" fillId="0" borderId="0" xfId="0" applyFont="1" applyAlignment="1">
      <alignment wrapText="1"/>
    </xf>
    <xf numFmtId="0" fontId="57" fillId="0" borderId="0" xfId="0" applyFont="1" applyAlignment="1">
      <alignment wrapText="1"/>
    </xf>
    <xf numFmtId="0" fontId="0" fillId="9" borderId="0" xfId="0" applyFill="1"/>
    <xf numFmtId="0" fontId="4" fillId="6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9" fillId="11" borderId="0" xfId="0" applyFont="1" applyFill="1"/>
    <xf numFmtId="0" fontId="27" fillId="3" borderId="0" xfId="0" applyFont="1" applyFill="1" applyAlignment="1">
      <alignment horizontal="center"/>
    </xf>
    <xf numFmtId="0" fontId="57" fillId="3" borderId="0" xfId="0" applyFont="1" applyFill="1" applyAlignment="1">
      <alignment horizontal="center"/>
    </xf>
    <xf numFmtId="0" fontId="57" fillId="3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left" wrapText="1"/>
    </xf>
    <xf numFmtId="0" fontId="2" fillId="3" borderId="0" xfId="0" applyFont="1" applyFill="1" applyAlignment="1">
      <alignment wrapText="1"/>
    </xf>
    <xf numFmtId="0" fontId="2" fillId="3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0" fontId="29" fillId="0" borderId="0" xfId="0" applyFont="1" applyAlignment="1">
      <alignment horizontal="center" wrapText="1"/>
    </xf>
    <xf numFmtId="0" fontId="28" fillId="0" borderId="0" xfId="0" applyFont="1" applyAlignment="1">
      <alignment wrapText="1"/>
    </xf>
    <xf numFmtId="0" fontId="2" fillId="3" borderId="0" xfId="0" applyFont="1" applyFill="1" applyAlignment="1" applyProtection="1">
      <alignment wrapText="1"/>
      <protection hidden="1"/>
    </xf>
    <xf numFmtId="0" fontId="16" fillId="3" borderId="0" xfId="0" applyFont="1" applyFill="1" applyAlignment="1" applyProtection="1">
      <alignment wrapText="1"/>
      <protection hidden="1"/>
    </xf>
    <xf numFmtId="0" fontId="57" fillId="0" borderId="0" xfId="0" applyFont="1" applyAlignment="1">
      <alignment horizontal="left" wrapText="1"/>
    </xf>
    <xf numFmtId="0" fontId="29" fillId="0" borderId="0" xfId="0" applyFont="1" applyAlignment="1">
      <alignment horizontal="center"/>
    </xf>
    <xf numFmtId="0" fontId="57" fillId="0" borderId="0" xfId="0" applyFont="1" applyAlignment="1">
      <alignment horizontal="left"/>
    </xf>
    <xf numFmtId="0" fontId="57" fillId="0" borderId="0" xfId="0" applyFont="1"/>
    <xf numFmtId="0" fontId="28" fillId="0" borderId="0" xfId="0" applyFont="1" applyAlignment="1">
      <alignment horizontal="center" vertical="center" wrapText="1"/>
    </xf>
    <xf numFmtId="0" fontId="57" fillId="0" borderId="0" xfId="0" applyFont="1" applyAlignment="1">
      <alignment horizontal="left" vertical="center" wrapText="1"/>
    </xf>
    <xf numFmtId="0" fontId="57" fillId="0" borderId="0" xfId="0" applyFont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6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7" fillId="3" borderId="0" xfId="0" applyFont="1" applyFill="1" applyAlignment="1">
      <alignment horizontal="center" wrapText="1"/>
    </xf>
    <xf numFmtId="0" fontId="70" fillId="3" borderId="0" xfId="0" applyFont="1" applyFill="1" applyAlignment="1">
      <alignment horizontal="center" wrapText="1"/>
    </xf>
    <xf numFmtId="0" fontId="27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center" wrapText="1"/>
    </xf>
    <xf numFmtId="0" fontId="70" fillId="3" borderId="0" xfId="0" applyFont="1" applyFill="1" applyAlignment="1">
      <alignment horizontal="left" wrapText="1"/>
    </xf>
    <xf numFmtId="0" fontId="57" fillId="3" borderId="0" xfId="0" applyFont="1" applyFill="1" applyAlignment="1">
      <alignment horizontal="left" wrapText="1"/>
    </xf>
    <xf numFmtId="0" fontId="64" fillId="8" borderId="0" xfId="0" applyFont="1" applyFill="1" applyAlignment="1">
      <alignment wrapText="1"/>
    </xf>
    <xf numFmtId="0" fontId="2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7" fillId="3" borderId="0" xfId="0" applyFont="1" applyFill="1"/>
    <xf numFmtId="0" fontId="57" fillId="3" borderId="0" xfId="0" applyFont="1" applyFill="1" applyAlignment="1">
      <alignment vertical="center"/>
    </xf>
    <xf numFmtId="0" fontId="12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8" fillId="0" borderId="0" xfId="0" applyFont="1" applyAlignment="1">
      <alignment horizontal="justify" vertical="center"/>
    </xf>
    <xf numFmtId="0" fontId="57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5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3" fillId="0" borderId="0" xfId="0" applyFont="1"/>
    <xf numFmtId="0" fontId="38" fillId="0" borderId="7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57" fillId="3" borderId="22" xfId="0" applyFont="1" applyFill="1" applyBorder="1" applyAlignment="1">
      <alignment horizontal="center"/>
    </xf>
    <xf numFmtId="0" fontId="57" fillId="3" borderId="24" xfId="0" applyFont="1" applyFill="1" applyBorder="1" applyAlignment="1">
      <alignment horizontal="center"/>
    </xf>
    <xf numFmtId="0" fontId="57" fillId="3" borderId="26" xfId="0" applyFont="1" applyFill="1" applyBorder="1" applyAlignment="1">
      <alignment horizontal="center"/>
    </xf>
    <xf numFmtId="0" fontId="57" fillId="3" borderId="12" xfId="0" applyFont="1" applyFill="1" applyBorder="1" applyAlignment="1">
      <alignment horizontal="center"/>
    </xf>
    <xf numFmtId="0" fontId="57" fillId="3" borderId="2" xfId="0" applyFont="1" applyFill="1" applyBorder="1" applyAlignment="1">
      <alignment horizontal="center"/>
    </xf>
    <xf numFmtId="0" fontId="57" fillId="3" borderId="8" xfId="0" applyFont="1" applyFill="1" applyBorder="1" applyAlignment="1">
      <alignment horizontal="center"/>
    </xf>
    <xf numFmtId="0" fontId="57" fillId="3" borderId="25" xfId="0" applyFont="1" applyFill="1" applyBorder="1" applyAlignment="1">
      <alignment horizontal="center"/>
    </xf>
    <xf numFmtId="0" fontId="57" fillId="3" borderId="27" xfId="0" applyFont="1" applyFill="1" applyBorder="1" applyAlignment="1">
      <alignment horizontal="center"/>
    </xf>
    <xf numFmtId="0" fontId="57" fillId="3" borderId="23" xfId="0" applyFont="1" applyFill="1" applyBorder="1" applyAlignment="1">
      <alignment horizontal="center"/>
    </xf>
    <xf numFmtId="0" fontId="57" fillId="3" borderId="28" xfId="0" applyFont="1" applyFill="1" applyBorder="1" applyAlignment="1">
      <alignment horizontal="center"/>
    </xf>
    <xf numFmtId="0" fontId="57" fillId="3" borderId="0" xfId="0" applyFont="1" applyFill="1" applyAlignment="1">
      <alignment horizontal="center" vertical="center" wrapText="1"/>
    </xf>
    <xf numFmtId="0" fontId="73" fillId="0" borderId="0" xfId="0" applyFont="1"/>
    <xf numFmtId="0" fontId="74" fillId="0" borderId="0" xfId="0" applyFont="1"/>
    <xf numFmtId="0" fontId="70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57" fillId="3" borderId="0" xfId="0" applyFont="1" applyFill="1" applyAlignment="1">
      <alignment horizontal="center" wrapText="1"/>
    </xf>
    <xf numFmtId="0" fontId="70" fillId="3" borderId="0" xfId="0" applyFont="1" applyFill="1" applyAlignment="1">
      <alignment horizontal="center" vertical="center" wrapText="1"/>
    </xf>
    <xf numFmtId="0" fontId="57" fillId="3" borderId="2" xfId="0" applyFont="1" applyFill="1" applyBorder="1" applyAlignment="1">
      <alignment horizontal="left" vertical="center" wrapText="1"/>
    </xf>
    <xf numFmtId="0" fontId="57" fillId="3" borderId="6" xfId="0" applyFont="1" applyFill="1" applyBorder="1" applyAlignment="1">
      <alignment horizontal="left"/>
    </xf>
    <xf numFmtId="0" fontId="57" fillId="3" borderId="9" xfId="0" applyFont="1" applyFill="1" applyBorder="1" applyAlignment="1">
      <alignment horizontal="center"/>
    </xf>
    <xf numFmtId="0" fontId="57" fillId="3" borderId="8" xfId="0" applyFont="1" applyFill="1" applyBorder="1" applyAlignment="1">
      <alignment horizontal="left"/>
    </xf>
    <xf numFmtId="0" fontId="57" fillId="3" borderId="7" xfId="0" applyFont="1" applyFill="1" applyBorder="1" applyAlignment="1">
      <alignment horizontal="left"/>
    </xf>
    <xf numFmtId="0" fontId="57" fillId="3" borderId="11" xfId="0" applyFont="1" applyFill="1" applyBorder="1" applyAlignment="1">
      <alignment horizontal="center"/>
    </xf>
    <xf numFmtId="0" fontId="57" fillId="0" borderId="0" xfId="0" applyFont="1" applyAlignment="1">
      <alignment horizontal="center" vertical="center"/>
    </xf>
    <xf numFmtId="0" fontId="79" fillId="0" borderId="0" xfId="0" applyFont="1"/>
    <xf numFmtId="0" fontId="81" fillId="8" borderId="0" xfId="0" applyFont="1" applyFill="1" applyAlignment="1">
      <alignment wrapText="1"/>
    </xf>
    <xf numFmtId="0" fontId="82" fillId="0" borderId="0" xfId="0" applyFont="1"/>
    <xf numFmtId="0" fontId="84" fillId="0" borderId="0" xfId="0" applyFont="1"/>
    <xf numFmtId="0" fontId="80" fillId="0" borderId="0" xfId="0" applyFont="1" applyAlignment="1">
      <alignment horizontal="center" vertical="center" wrapText="1"/>
    </xf>
    <xf numFmtId="0" fontId="83" fillId="0" borderId="0" xfId="0" applyFont="1"/>
    <xf numFmtId="0" fontId="87" fillId="8" borderId="0" xfId="0" applyFont="1" applyFill="1" applyAlignment="1">
      <alignment wrapText="1"/>
    </xf>
    <xf numFmtId="0" fontId="89" fillId="0" borderId="0" xfId="0" applyFont="1"/>
    <xf numFmtId="0" fontId="25" fillId="0" borderId="0" xfId="0" applyFont="1" applyAlignment="1">
      <alignment horizontal="center" vertical="center"/>
    </xf>
    <xf numFmtId="0" fontId="90" fillId="3" borderId="0" xfId="0" applyFont="1" applyFill="1" applyProtection="1">
      <protection hidden="1"/>
    </xf>
    <xf numFmtId="0" fontId="90" fillId="0" borderId="0" xfId="0" applyFont="1" applyAlignment="1">
      <alignment horizontal="center" vertical="center"/>
    </xf>
    <xf numFmtId="0" fontId="90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 wrapText="1"/>
    </xf>
    <xf numFmtId="0" fontId="91" fillId="0" borderId="0" xfId="0" applyFont="1" applyAlignment="1">
      <alignment horizontal="center" vertical="center" wrapText="1"/>
    </xf>
    <xf numFmtId="0" fontId="0" fillId="0" borderId="1" xfId="0" applyBorder="1"/>
    <xf numFmtId="0" fontId="68" fillId="3" borderId="0" xfId="0" applyFont="1" applyFill="1" applyAlignment="1">
      <alignment horizontal="center"/>
    </xf>
    <xf numFmtId="0" fontId="27" fillId="3" borderId="17" xfId="0" applyFont="1" applyFill="1" applyBorder="1" applyAlignment="1">
      <alignment horizontal="center" vertical="center"/>
    </xf>
    <xf numFmtId="0" fontId="27" fillId="3" borderId="19" xfId="0" applyFont="1" applyFill="1" applyBorder="1" applyAlignment="1">
      <alignment horizontal="center" vertical="center"/>
    </xf>
    <xf numFmtId="0" fontId="57" fillId="3" borderId="29" xfId="0" applyFont="1" applyFill="1" applyBorder="1" applyAlignment="1">
      <alignment horizontal="center"/>
    </xf>
    <xf numFmtId="0" fontId="57" fillId="3" borderId="30" xfId="0" applyFont="1" applyFill="1" applyBorder="1" applyAlignment="1">
      <alignment horizontal="center"/>
    </xf>
    <xf numFmtId="0" fontId="57" fillId="3" borderId="29" xfId="0" applyFont="1" applyFill="1" applyBorder="1" applyAlignment="1">
      <alignment horizontal="center" vertical="center"/>
    </xf>
    <xf numFmtId="0" fontId="57" fillId="3" borderId="25" xfId="0" applyFont="1" applyFill="1" applyBorder="1" applyAlignment="1">
      <alignment horizontal="center" vertical="center"/>
    </xf>
    <xf numFmtId="0" fontId="57" fillId="3" borderId="30" xfId="0" applyFont="1" applyFill="1" applyBorder="1" applyAlignment="1">
      <alignment horizontal="center" vertical="center"/>
    </xf>
    <xf numFmtId="0" fontId="57" fillId="3" borderId="27" xfId="0" applyFont="1" applyFill="1" applyBorder="1" applyAlignment="1">
      <alignment horizontal="center" vertical="center"/>
    </xf>
    <xf numFmtId="0" fontId="57" fillId="3" borderId="28" xfId="0" applyFont="1" applyFill="1" applyBorder="1" applyAlignment="1">
      <alignment horizontal="center" vertical="center"/>
    </xf>
    <xf numFmtId="0" fontId="57" fillId="3" borderId="23" xfId="0" applyFont="1" applyFill="1" applyBorder="1" applyAlignment="1">
      <alignment horizontal="center" vertical="center"/>
    </xf>
    <xf numFmtId="166" fontId="15" fillId="3" borderId="0" xfId="0" applyNumberFormat="1" applyFont="1" applyFill="1" applyAlignment="1">
      <alignment horizontal="center"/>
    </xf>
    <xf numFmtId="0" fontId="64" fillId="8" borderId="1" xfId="0" applyFont="1" applyFill="1" applyBorder="1" applyAlignment="1">
      <alignment wrapText="1"/>
    </xf>
    <xf numFmtId="0" fontId="78" fillId="3" borderId="0" xfId="0" applyFont="1" applyFill="1" applyAlignment="1">
      <alignment horizontal="center"/>
    </xf>
    <xf numFmtId="0" fontId="57" fillId="3" borderId="29" xfId="0" applyFont="1" applyFill="1" applyBorder="1"/>
    <xf numFmtId="0" fontId="57" fillId="3" borderId="25" xfId="0" applyFont="1" applyFill="1" applyBorder="1"/>
    <xf numFmtId="0" fontId="57" fillId="3" borderId="22" xfId="0" applyFont="1" applyFill="1" applyBorder="1" applyAlignment="1">
      <alignment horizontal="center" vertical="center"/>
    </xf>
    <xf numFmtId="0" fontId="57" fillId="3" borderId="24" xfId="0" applyFont="1" applyFill="1" applyBorder="1" applyAlignment="1">
      <alignment horizontal="center" vertical="center"/>
    </xf>
    <xf numFmtId="0" fontId="57" fillId="3" borderId="26" xfId="0" applyFont="1" applyFill="1" applyBorder="1" applyAlignment="1">
      <alignment horizontal="center" vertical="center"/>
    </xf>
    <xf numFmtId="0" fontId="28" fillId="0" borderId="0" xfId="0" applyFont="1" applyAlignment="1">
      <alignment horizontal="justify" vertical="center" wrapText="1"/>
    </xf>
    <xf numFmtId="0" fontId="57" fillId="0" borderId="0" xfId="0" applyFont="1" applyAlignment="1">
      <alignment horizontal="justify" vertical="center" wrapText="1"/>
    </xf>
    <xf numFmtId="0" fontId="15" fillId="0" borderId="6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9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5" fillId="0" borderId="6" xfId="0" applyFont="1" applyBorder="1" applyAlignment="1">
      <alignment horizontal="center" vertical="top" wrapText="1"/>
    </xf>
    <xf numFmtId="0" fontId="15" fillId="3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96" fillId="3" borderId="2" xfId="0" applyFont="1" applyFill="1" applyBorder="1" applyAlignment="1">
      <alignment horizontal="center" vertical="center" wrapText="1"/>
    </xf>
    <xf numFmtId="0" fontId="97" fillId="0" borderId="0" xfId="0" applyFont="1" applyAlignment="1">
      <alignment horizontal="center" vertical="center"/>
    </xf>
    <xf numFmtId="0" fontId="57" fillId="0" borderId="0" xfId="0" applyFont="1" applyAlignment="1">
      <alignment horizontal="justify" vertical="center"/>
    </xf>
    <xf numFmtId="0" fontId="27" fillId="3" borderId="0" xfId="0" applyFont="1" applyFill="1" applyAlignment="1" applyProtection="1">
      <alignment horizontal="center"/>
      <protection hidden="1"/>
    </xf>
    <xf numFmtId="0" fontId="57" fillId="3" borderId="0" xfId="0" applyFont="1" applyFill="1" applyProtection="1">
      <protection hidden="1"/>
    </xf>
    <xf numFmtId="0" fontId="27" fillId="3" borderId="0" xfId="0" applyFont="1" applyFill="1" applyProtection="1">
      <protection hidden="1"/>
    </xf>
    <xf numFmtId="0" fontId="57" fillId="3" borderId="0" xfId="0" applyFont="1" applyFill="1" applyAlignment="1" applyProtection="1">
      <alignment horizontal="left"/>
      <protection hidden="1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vertical="center"/>
    </xf>
    <xf numFmtId="49" fontId="32" fillId="0" borderId="2" xfId="0" applyNumberFormat="1" applyFont="1" applyBorder="1" applyAlignment="1">
      <alignment horizontal="center" vertical="center"/>
    </xf>
    <xf numFmtId="49" fontId="32" fillId="0" borderId="8" xfId="0" applyNumberFormat="1" applyFont="1" applyBorder="1" applyAlignment="1">
      <alignment horizontal="center" vertical="center"/>
    </xf>
    <xf numFmtId="0" fontId="32" fillId="0" borderId="8" xfId="0" applyFont="1" applyBorder="1" applyAlignment="1">
      <alignment vertical="center"/>
    </xf>
    <xf numFmtId="0" fontId="32" fillId="0" borderId="2" xfId="0" applyFont="1" applyBorder="1" applyAlignment="1">
      <alignment horizontal="left" vertical="center" wrapText="1"/>
    </xf>
    <xf numFmtId="0" fontId="57" fillId="3" borderId="0" xfId="0" applyFont="1" applyFill="1" applyAlignment="1" applyProtection="1">
      <alignment wrapText="1"/>
      <protection hidden="1"/>
    </xf>
    <xf numFmtId="0" fontId="27" fillId="3" borderId="0" xfId="0" applyFont="1" applyFill="1" applyAlignment="1" applyProtection="1">
      <alignment wrapText="1"/>
      <protection hidden="1"/>
    </xf>
    <xf numFmtId="0" fontId="25" fillId="0" borderId="3" xfId="0" applyFont="1" applyBorder="1" applyAlignment="1">
      <alignment horizontal="center" vertical="center"/>
    </xf>
    <xf numFmtId="0" fontId="57" fillId="0" borderId="0" xfId="0" applyFont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/>
    </xf>
    <xf numFmtId="0" fontId="70" fillId="0" borderId="0" xfId="0" applyFont="1" applyAlignment="1">
      <alignment horizontal="left" vertical="center" wrapText="1"/>
    </xf>
    <xf numFmtId="0" fontId="85" fillId="0" borderId="0" xfId="0" applyFont="1"/>
    <xf numFmtId="0" fontId="15" fillId="0" borderId="0" xfId="0" applyFont="1" applyAlignment="1">
      <alignment vertical="center" wrapText="1"/>
    </xf>
    <xf numFmtId="0" fontId="15" fillId="0" borderId="6" xfId="0" applyFont="1" applyBorder="1" applyAlignment="1">
      <alignment horizontal="center" vertical="top"/>
    </xf>
    <xf numFmtId="0" fontId="15" fillId="3" borderId="6" xfId="0" applyFont="1" applyFill="1" applyBorder="1" applyAlignment="1">
      <alignment horizontal="center" vertical="top"/>
    </xf>
    <xf numFmtId="0" fontId="15" fillId="0" borderId="5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3" borderId="7" xfId="0" applyFont="1" applyFill="1" applyBorder="1" applyAlignment="1">
      <alignment horizontal="center" vertical="top"/>
    </xf>
    <xf numFmtId="0" fontId="15" fillId="4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/>
    </xf>
    <xf numFmtId="49" fontId="18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3" xfId="0" applyFont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center" vertical="center"/>
    </xf>
    <xf numFmtId="0" fontId="70" fillId="3" borderId="0" xfId="0" applyFont="1" applyFill="1"/>
    <xf numFmtId="0" fontId="57" fillId="3" borderId="6" xfId="0" applyFont="1" applyFill="1" applyBorder="1" applyAlignment="1">
      <alignment horizontal="center"/>
    </xf>
    <xf numFmtId="0" fontId="27" fillId="3" borderId="0" xfId="0" applyFont="1" applyFill="1" applyAlignment="1">
      <alignment horizontal="center" vertical="center" wrapText="1"/>
    </xf>
    <xf numFmtId="49" fontId="57" fillId="3" borderId="2" xfId="0" applyNumberFormat="1" applyFont="1" applyFill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8" fillId="4" borderId="0" xfId="0" applyFont="1" applyFill="1"/>
    <xf numFmtId="0" fontId="29" fillId="4" borderId="0" xfId="0" applyFont="1" applyFill="1"/>
    <xf numFmtId="0" fontId="15" fillId="4" borderId="0" xfId="0" applyFont="1" applyFill="1"/>
    <xf numFmtId="0" fontId="18" fillId="4" borderId="0" xfId="0" applyFont="1" applyFill="1"/>
    <xf numFmtId="0" fontId="32" fillId="0" borderId="6" xfId="0" applyFont="1" applyBorder="1" applyAlignment="1">
      <alignment horizontal="center"/>
    </xf>
    <xf numFmtId="0" fontId="32" fillId="3" borderId="6" xfId="0" applyFont="1" applyFill="1" applyBorder="1" applyAlignment="1">
      <alignment horizontal="center"/>
    </xf>
    <xf numFmtId="0" fontId="32" fillId="3" borderId="6" xfId="0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7" xfId="0" applyFont="1" applyBorder="1" applyAlignment="1">
      <alignment vertical="center" wrapText="1"/>
    </xf>
    <xf numFmtId="0" fontId="32" fillId="0" borderId="7" xfId="0" applyFont="1" applyBorder="1"/>
    <xf numFmtId="0" fontId="32" fillId="3" borderId="7" xfId="0" applyFont="1" applyFill="1" applyBorder="1"/>
    <xf numFmtId="0" fontId="32" fillId="3" borderId="7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/>
    </xf>
    <xf numFmtId="0" fontId="42" fillId="0" borderId="7" xfId="0" applyFont="1" applyBorder="1" applyAlignment="1">
      <alignment horizontal="center" vertical="center" wrapText="1"/>
    </xf>
    <xf numFmtId="49" fontId="57" fillId="0" borderId="0" xfId="0" applyNumberFormat="1" applyFont="1" applyAlignment="1">
      <alignment horizontal="center" vertical="center"/>
    </xf>
    <xf numFmtId="0" fontId="57" fillId="3" borderId="7" xfId="0" applyFont="1" applyFill="1" applyBorder="1" applyAlignment="1">
      <alignment horizontal="center"/>
    </xf>
    <xf numFmtId="0" fontId="17" fillId="0" borderId="0" xfId="0" applyFont="1" applyAlignment="1">
      <alignment wrapText="1"/>
    </xf>
    <xf numFmtId="0" fontId="37" fillId="0" borderId="10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6" xfId="0" applyFont="1" applyBorder="1" applyAlignment="1">
      <alignment wrapText="1"/>
    </xf>
    <xf numFmtId="0" fontId="37" fillId="0" borderId="2" xfId="0" applyFont="1" applyBorder="1" applyAlignment="1" applyProtection="1">
      <alignment wrapText="1"/>
      <protection hidden="1"/>
    </xf>
    <xf numFmtId="49" fontId="37" fillId="0" borderId="2" xfId="0" applyNumberFormat="1" applyFont="1" applyBorder="1" applyAlignment="1" applyProtection="1">
      <alignment horizontal="center" wrapText="1"/>
      <protection hidden="1"/>
    </xf>
    <xf numFmtId="0" fontId="39" fillId="0" borderId="8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7" xfId="0" applyFont="1" applyBorder="1" applyAlignment="1">
      <alignment vertical="center" wrapText="1"/>
    </xf>
    <xf numFmtId="0" fontId="37" fillId="0" borderId="8" xfId="0" applyFont="1" applyBorder="1" applyAlignment="1">
      <alignment wrapText="1"/>
    </xf>
    <xf numFmtId="0" fontId="37" fillId="0" borderId="0" xfId="0" applyFont="1" applyAlignment="1">
      <alignment wrapText="1"/>
    </xf>
    <xf numFmtId="0" fontId="37" fillId="0" borderId="7" xfId="0" applyFont="1" applyBorder="1" applyAlignment="1">
      <alignment horizontal="center" vertical="center" wrapText="1"/>
    </xf>
    <xf numFmtId="0" fontId="37" fillId="0" borderId="2" xfId="0" applyFont="1" applyBorder="1" applyAlignment="1">
      <alignment wrapText="1"/>
    </xf>
    <xf numFmtId="0" fontId="37" fillId="0" borderId="14" xfId="0" applyFont="1" applyBorder="1" applyAlignment="1">
      <alignment horizont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14" xfId="0" applyFont="1" applyBorder="1" applyAlignment="1">
      <alignment wrapText="1"/>
    </xf>
    <xf numFmtId="0" fontId="37" fillId="0" borderId="3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0" xfId="0" applyFont="1" applyAlignment="1">
      <alignment horizont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6" xfId="0" applyFont="1" applyBorder="1" applyAlignment="1">
      <alignment wrapText="1"/>
    </xf>
    <xf numFmtId="0" fontId="38" fillId="0" borderId="2" xfId="0" applyFont="1" applyBorder="1" applyAlignment="1" applyProtection="1">
      <alignment wrapText="1"/>
      <protection hidden="1"/>
    </xf>
    <xf numFmtId="49" fontId="38" fillId="0" borderId="2" xfId="0" applyNumberFormat="1" applyFont="1" applyBorder="1" applyAlignment="1" applyProtection="1">
      <alignment horizontal="center" wrapText="1"/>
      <protection hidden="1"/>
    </xf>
    <xf numFmtId="0" fontId="38" fillId="0" borderId="14" xfId="0" applyFont="1" applyBorder="1" applyAlignment="1">
      <alignment horizontal="center" wrapText="1"/>
    </xf>
    <xf numFmtId="0" fontId="38" fillId="0" borderId="14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14" xfId="0" applyFont="1" applyBorder="1" applyAlignment="1">
      <alignment wrapText="1"/>
    </xf>
    <xf numFmtId="0" fontId="38" fillId="0" borderId="8" xfId="0" applyFont="1" applyBorder="1" applyAlignment="1">
      <alignment wrapText="1"/>
    </xf>
    <xf numFmtId="0" fontId="38" fillId="0" borderId="3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wrapText="1"/>
    </xf>
    <xf numFmtId="0" fontId="38" fillId="0" borderId="13" xfId="0" applyFont="1" applyBorder="1" applyAlignment="1">
      <alignment horizontal="center" vertical="center" wrapText="1"/>
    </xf>
    <xf numFmtId="0" fontId="38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7" fillId="0" borderId="8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40" fillId="0" borderId="6" xfId="0" applyFont="1" applyBorder="1" applyAlignment="1">
      <alignment wrapText="1"/>
    </xf>
    <xf numFmtId="0" fontId="41" fillId="0" borderId="2" xfId="0" applyFont="1" applyBorder="1" applyAlignment="1" applyProtection="1">
      <alignment wrapText="1"/>
      <protection hidden="1"/>
    </xf>
    <xf numFmtId="49" fontId="41" fillId="0" borderId="2" xfId="0" applyNumberFormat="1" applyFont="1" applyBorder="1" applyAlignment="1" applyProtection="1">
      <alignment horizontal="center" wrapText="1"/>
      <protection hidden="1"/>
    </xf>
    <xf numFmtId="0" fontId="41" fillId="0" borderId="2" xfId="0" applyFont="1" applyBorder="1" applyAlignment="1">
      <alignment horizontal="center" wrapText="1"/>
    </xf>
    <xf numFmtId="0" fontId="39" fillId="0" borderId="7" xfId="0" applyFont="1" applyBorder="1" applyAlignment="1">
      <alignment horizontal="center" vertical="center" wrapText="1"/>
    </xf>
    <xf numFmtId="0" fontId="38" fillId="0" borderId="7" xfId="0" applyFont="1" applyBorder="1" applyAlignment="1">
      <alignment vertical="center" wrapText="1"/>
    </xf>
    <xf numFmtId="0" fontId="38" fillId="0" borderId="0" xfId="0" applyFont="1" applyAlignment="1">
      <alignment wrapText="1"/>
    </xf>
    <xf numFmtId="0" fontId="38" fillId="0" borderId="2" xfId="0" applyFont="1" applyBorder="1" applyAlignment="1">
      <alignment wrapText="1"/>
    </xf>
    <xf numFmtId="0" fontId="41" fillId="0" borderId="6" xfId="0" applyFont="1" applyBorder="1" applyAlignment="1">
      <alignment wrapText="1"/>
    </xf>
    <xf numFmtId="0" fontId="37" fillId="0" borderId="8" xfId="0" applyFont="1" applyBorder="1" applyAlignment="1">
      <alignment vertical="center"/>
    </xf>
    <xf numFmtId="0" fontId="102" fillId="0" borderId="0" xfId="0" applyFont="1" applyAlignment="1">
      <alignment wrapText="1"/>
    </xf>
    <xf numFmtId="0" fontId="45" fillId="0" borderId="0" xfId="0" applyFont="1"/>
    <xf numFmtId="0" fontId="42" fillId="0" borderId="2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9" fillId="0" borderId="2" xfId="0" applyFont="1" applyBorder="1" applyAlignment="1">
      <alignment vertical="center"/>
    </xf>
    <xf numFmtId="49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49" fontId="19" fillId="0" borderId="8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0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5" fillId="0" borderId="8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28" fillId="3" borderId="0" xfId="0" applyFont="1" applyFill="1" applyAlignment="1">
      <alignment horizontal="left" wrapText="1"/>
    </xf>
    <xf numFmtId="0" fontId="15" fillId="0" borderId="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/>
    </xf>
    <xf numFmtId="0" fontId="25" fillId="3" borderId="0" xfId="0" applyFont="1" applyFill="1"/>
    <xf numFmtId="0" fontId="28" fillId="3" borderId="0" xfId="0" applyFont="1" applyFill="1"/>
    <xf numFmtId="0" fontId="57" fillId="3" borderId="0" xfId="0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0" fontId="25" fillId="0" borderId="6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9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8" xfId="0" applyFont="1" applyBorder="1" applyAlignment="1">
      <alignment horizontal="left" wrapText="1"/>
    </xf>
    <xf numFmtId="0" fontId="13" fillId="0" borderId="14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top"/>
    </xf>
    <xf numFmtId="0" fontId="13" fillId="0" borderId="10" xfId="0" applyFont="1" applyBorder="1"/>
    <xf numFmtId="0" fontId="13" fillId="0" borderId="6" xfId="0" applyFont="1" applyBorder="1"/>
    <xf numFmtId="0" fontId="13" fillId="0" borderId="6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>
      <alignment horizontal="left" wrapText="1"/>
    </xf>
    <xf numFmtId="0" fontId="13" fillId="0" borderId="15" xfId="0" applyFont="1" applyBorder="1" applyAlignment="1">
      <alignment horizontal="center"/>
    </xf>
    <xf numFmtId="0" fontId="13" fillId="0" borderId="14" xfId="0" applyFont="1" applyBorder="1" applyAlignment="1">
      <alignment horizontal="left"/>
    </xf>
    <xf numFmtId="0" fontId="13" fillId="0" borderId="14" xfId="0" applyFont="1" applyBorder="1"/>
    <xf numFmtId="0" fontId="13" fillId="0" borderId="8" xfId="0" applyFont="1" applyBorder="1"/>
    <xf numFmtId="0" fontId="13" fillId="0" borderId="11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wrapText="1"/>
    </xf>
    <xf numFmtId="0" fontId="13" fillId="0" borderId="7" xfId="0" applyFont="1" applyBorder="1" applyAlignment="1">
      <alignment horizontal="left"/>
    </xf>
    <xf numFmtId="0" fontId="13" fillId="3" borderId="15" xfId="0" applyFont="1" applyFill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3" borderId="0" xfId="0" applyFont="1" applyFill="1" applyAlignment="1">
      <alignment vertical="center" wrapText="1"/>
    </xf>
    <xf numFmtId="0" fontId="13" fillId="0" borderId="12" xfId="0" applyFont="1" applyBorder="1"/>
    <xf numFmtId="0" fontId="13" fillId="0" borderId="7" xfId="0" applyFont="1" applyBorder="1"/>
    <xf numFmtId="0" fontId="13" fillId="0" borderId="1" xfId="0" applyFont="1" applyBorder="1"/>
    <xf numFmtId="0" fontId="13" fillId="0" borderId="7" xfId="0" applyFont="1" applyBorder="1" applyAlignment="1">
      <alignment horizontal="center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4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left" wrapText="1"/>
    </xf>
    <xf numFmtId="0" fontId="14" fillId="0" borderId="8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left" wrapText="1"/>
    </xf>
    <xf numFmtId="0" fontId="14" fillId="0" borderId="7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top"/>
    </xf>
    <xf numFmtId="0" fontId="25" fillId="0" borderId="6" xfId="0" applyFont="1" applyBorder="1"/>
    <xf numFmtId="0" fontId="25" fillId="0" borderId="9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center"/>
    </xf>
    <xf numFmtId="0" fontId="25" fillId="0" borderId="8" xfId="0" applyFont="1" applyBorder="1" applyAlignment="1">
      <alignment horizontal="center" vertical="top"/>
    </xf>
    <xf numFmtId="0" fontId="25" fillId="0" borderId="8" xfId="0" applyFont="1" applyBorder="1"/>
    <xf numFmtId="0" fontId="25" fillId="0" borderId="14" xfId="0" applyFont="1" applyBorder="1"/>
    <xf numFmtId="0" fontId="25" fillId="0" borderId="11" xfId="0" applyFont="1" applyBorder="1" applyAlignment="1">
      <alignment horizontal="center"/>
    </xf>
    <xf numFmtId="0" fontId="25" fillId="0" borderId="11" xfId="0" applyFont="1" applyBorder="1" applyAlignment="1">
      <alignment horizontal="left" wrapText="1"/>
    </xf>
    <xf numFmtId="0" fontId="25" fillId="0" borderId="0" xfId="0" applyFont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0" borderId="7" xfId="0" applyFont="1" applyBorder="1" applyAlignment="1">
      <alignment horizontal="center" vertical="top"/>
    </xf>
    <xf numFmtId="0" fontId="25" fillId="0" borderId="7" xfId="0" applyFont="1" applyBorder="1" applyAlignment="1">
      <alignment horizontal="left"/>
    </xf>
    <xf numFmtId="0" fontId="25" fillId="0" borderId="13" xfId="0" applyFont="1" applyBorder="1"/>
    <xf numFmtId="0" fontId="25" fillId="0" borderId="7" xfId="0" applyFont="1" applyBorder="1"/>
    <xf numFmtId="0" fontId="25" fillId="0" borderId="12" xfId="0" applyFont="1" applyBorder="1" applyAlignment="1">
      <alignment horizontal="center"/>
    </xf>
    <xf numFmtId="0" fontId="25" fillId="0" borderId="12" xfId="0" applyFont="1" applyBorder="1" applyAlignment="1">
      <alignment horizontal="left" wrapText="1"/>
    </xf>
    <xf numFmtId="0" fontId="25" fillId="0" borderId="7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9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15" xfId="0" applyFont="1" applyBorder="1" applyAlignment="1">
      <alignment horizontal="center" vertical="center"/>
    </xf>
    <xf numFmtId="0" fontId="25" fillId="0" borderId="9" xfId="0" applyFont="1" applyBorder="1" applyAlignment="1">
      <alignment horizontal="left" wrapText="1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8" xfId="0" applyFont="1" applyBorder="1" applyAlignment="1">
      <alignment horizontal="left" wrapText="1"/>
    </xf>
    <xf numFmtId="0" fontId="25" fillId="0" borderId="14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25" fillId="0" borderId="7" xfId="0" applyFont="1" applyBorder="1" applyAlignment="1">
      <alignment horizontal="left" wrapText="1"/>
    </xf>
    <xf numFmtId="0" fontId="25" fillId="0" borderId="13" xfId="0" applyFont="1" applyBorder="1" applyAlignment="1">
      <alignment horizontal="center" vertical="center"/>
    </xf>
    <xf numFmtId="0" fontId="25" fillId="0" borderId="8" xfId="0" applyFont="1" applyBorder="1" applyAlignment="1">
      <alignment vertical="top"/>
    </xf>
    <xf numFmtId="0" fontId="25" fillId="0" borderId="7" xfId="0" applyFont="1" applyBorder="1" applyAlignment="1">
      <alignment vertical="top"/>
    </xf>
    <xf numFmtId="0" fontId="26" fillId="0" borderId="6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/>
    </xf>
    <xf numFmtId="0" fontId="26" fillId="0" borderId="8" xfId="0" applyFont="1" applyBorder="1" applyAlignment="1">
      <alignment horizontal="left" wrapText="1"/>
    </xf>
    <xf numFmtId="0" fontId="26" fillId="0" borderId="8" xfId="0" applyFont="1" applyBorder="1" applyAlignment="1">
      <alignment horizontal="center"/>
    </xf>
    <xf numFmtId="0" fontId="26" fillId="0" borderId="8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7" xfId="0" applyFont="1" applyBorder="1" applyAlignment="1">
      <alignment horizontal="left" wrapText="1"/>
    </xf>
    <xf numFmtId="0" fontId="26" fillId="0" borderId="7" xfId="0" applyFont="1" applyBorder="1" applyAlignment="1">
      <alignment horizontal="center"/>
    </xf>
    <xf numFmtId="0" fontId="26" fillId="0" borderId="7" xfId="0" applyFont="1" applyBorder="1" applyAlignment="1">
      <alignment horizontal="center" vertical="center"/>
    </xf>
    <xf numFmtId="0" fontId="25" fillId="0" borderId="10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left" wrapText="1"/>
    </xf>
    <xf numFmtId="0" fontId="25" fillId="0" borderId="2" xfId="0" applyFont="1" applyBorder="1"/>
    <xf numFmtId="0" fontId="25" fillId="0" borderId="3" xfId="0" applyFont="1" applyBorder="1" applyAlignment="1">
      <alignment horizontal="center"/>
    </xf>
    <xf numFmtId="0" fontId="25" fillId="0" borderId="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center"/>
    </xf>
    <xf numFmtId="0" fontId="26" fillId="0" borderId="6" xfId="0" applyFont="1" applyBorder="1" applyAlignment="1">
      <alignment horizontal="left" wrapText="1"/>
    </xf>
    <xf numFmtId="0" fontId="26" fillId="0" borderId="8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top" wrapText="1"/>
    </xf>
    <xf numFmtId="0" fontId="25" fillId="0" borderId="6" xfId="0" applyFont="1" applyBorder="1" applyAlignment="1">
      <alignment horizontal="left" vertical="top"/>
    </xf>
    <xf numFmtId="0" fontId="25" fillId="0" borderId="2" xfId="0" applyFont="1" applyBorder="1" applyAlignment="1">
      <alignment horizontal="center" vertical="top"/>
    </xf>
    <xf numFmtId="0" fontId="26" fillId="0" borderId="7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left" vertical="top"/>
    </xf>
    <xf numFmtId="0" fontId="25" fillId="0" borderId="2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center"/>
    </xf>
    <xf numFmtId="0" fontId="25" fillId="0" borderId="13" xfId="0" applyFont="1" applyBorder="1" applyAlignment="1">
      <alignment horizontal="left"/>
    </xf>
    <xf numFmtId="0" fontId="25" fillId="0" borderId="13" xfId="0" applyFont="1" applyBorder="1" applyAlignment="1">
      <alignment horizontal="center"/>
    </xf>
    <xf numFmtId="0" fontId="25" fillId="3" borderId="15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vertical="center" wrapText="1"/>
    </xf>
    <xf numFmtId="0" fontId="25" fillId="0" borderId="12" xfId="0" applyFont="1" applyBorder="1"/>
    <xf numFmtId="0" fontId="25" fillId="0" borderId="7" xfId="0" applyFont="1" applyBorder="1" applyAlignment="1">
      <alignment horizontal="left" vertical="center" wrapText="1"/>
    </xf>
    <xf numFmtId="0" fontId="25" fillId="0" borderId="10" xfId="0" applyFont="1" applyBorder="1"/>
    <xf numFmtId="0" fontId="25" fillId="0" borderId="14" xfId="0" applyFont="1" applyBorder="1" applyAlignment="1">
      <alignment horizontal="left"/>
    </xf>
    <xf numFmtId="0" fontId="25" fillId="0" borderId="8" xfId="0" applyFont="1" applyBorder="1" applyAlignment="1">
      <alignment horizontal="left"/>
    </xf>
    <xf numFmtId="0" fontId="26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/>
    </xf>
    <xf numFmtId="0" fontId="13" fillId="0" borderId="13" xfId="0" applyFont="1" applyBorder="1" applyAlignment="1">
      <alignment horizontal="left"/>
    </xf>
    <xf numFmtId="0" fontId="13" fillId="0" borderId="13" xfId="0" applyFont="1" applyBorder="1"/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>
      <alignment horizontal="left" wrapText="1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13" fillId="0" borderId="7" xfId="0" applyFont="1" applyBorder="1" applyAlignment="1">
      <alignment horizontal="left" wrapText="1"/>
    </xf>
    <xf numFmtId="0" fontId="14" fillId="0" borderId="1" xfId="0" applyFont="1" applyBorder="1" applyAlignment="1">
      <alignment horizontal="center" vertical="center"/>
    </xf>
    <xf numFmtId="0" fontId="25" fillId="0" borderId="5" xfId="0" applyFont="1" applyBorder="1"/>
    <xf numFmtId="0" fontId="25" fillId="0" borderId="10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vertical="center"/>
    </xf>
    <xf numFmtId="0" fontId="26" fillId="0" borderId="1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10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wrapText="1"/>
    </xf>
    <xf numFmtId="0" fontId="25" fillId="3" borderId="0" xfId="0" applyFont="1" applyFill="1" applyAlignment="1">
      <alignment vertical="center" wrapText="1"/>
    </xf>
    <xf numFmtId="0" fontId="25" fillId="0" borderId="9" xfId="0" applyFont="1" applyBorder="1" applyAlignment="1">
      <alignment horizontal="center" vertical="top"/>
    </xf>
    <xf numFmtId="0" fontId="25" fillId="3" borderId="9" xfId="0" applyFont="1" applyFill="1" applyBorder="1" applyAlignment="1">
      <alignment vertical="center" wrapText="1"/>
    </xf>
    <xf numFmtId="0" fontId="25" fillId="3" borderId="12" xfId="0" applyFont="1" applyFill="1" applyBorder="1" applyAlignment="1">
      <alignment vertical="center" wrapText="1"/>
    </xf>
    <xf numFmtId="0" fontId="25" fillId="0" borderId="3" xfId="0" applyFont="1" applyBorder="1" applyAlignment="1">
      <alignment horizontal="left" wrapText="1"/>
    </xf>
    <xf numFmtId="0" fontId="25" fillId="0" borderId="15" xfId="0" applyFont="1" applyBorder="1" applyAlignment="1">
      <alignment horizontal="left" vertical="center" wrapText="1"/>
    </xf>
    <xf numFmtId="0" fontId="25" fillId="0" borderId="11" xfId="0" applyFont="1" applyBorder="1"/>
    <xf numFmtId="0" fontId="25" fillId="0" borderId="0" xfId="0" applyFont="1" applyAlignment="1">
      <alignment horizontal="left" wrapText="1"/>
    </xf>
    <xf numFmtId="0" fontId="25" fillId="0" borderId="9" xfId="0" applyFont="1" applyBorder="1"/>
    <xf numFmtId="0" fontId="25" fillId="0" borderId="15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/>
    </xf>
    <xf numFmtId="0" fontId="25" fillId="0" borderId="11" xfId="0" applyFont="1" applyBorder="1" applyAlignment="1">
      <alignment horizontal="left"/>
    </xf>
    <xf numFmtId="0" fontId="25" fillId="0" borderId="0" xfId="0" applyFont="1" applyAlignment="1">
      <alignment horizontal="center" vertical="center" wrapText="1"/>
    </xf>
    <xf numFmtId="0" fontId="25" fillId="0" borderId="12" xfId="0" applyFont="1" applyBorder="1" applyAlignment="1">
      <alignment horizontal="left"/>
    </xf>
    <xf numFmtId="0" fontId="25" fillId="0" borderId="1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/>
    </xf>
    <xf numFmtId="0" fontId="25" fillId="0" borderId="9" xfId="0" applyFont="1" applyBorder="1" applyAlignment="1">
      <alignment vertical="top" wrapText="1"/>
    </xf>
    <xf numFmtId="0" fontId="25" fillId="0" borderId="6" xfId="0" applyFont="1" applyBorder="1" applyAlignment="1">
      <alignment vertical="top"/>
    </xf>
    <xf numFmtId="0" fontId="25" fillId="0" borderId="15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25" fillId="0" borderId="11" xfId="0" applyFont="1" applyBorder="1" applyAlignment="1">
      <alignment vertical="top" wrapText="1"/>
    </xf>
    <xf numFmtId="0" fontId="25" fillId="0" borderId="0" xfId="0" applyFont="1" applyAlignment="1">
      <alignment horizontal="center" vertical="top"/>
    </xf>
    <xf numFmtId="0" fontId="25" fillId="0" borderId="14" xfId="0" applyFont="1" applyBorder="1" applyAlignment="1">
      <alignment horizontal="center" vertical="top"/>
    </xf>
    <xf numFmtId="0" fontId="25" fillId="0" borderId="12" xfId="0" applyFont="1" applyBorder="1" applyAlignment="1">
      <alignment vertical="top" wrapText="1"/>
    </xf>
    <xf numFmtId="0" fontId="25" fillId="0" borderId="1" xfId="0" applyFont="1" applyBorder="1" applyAlignment="1">
      <alignment horizontal="center" vertical="top"/>
    </xf>
    <xf numFmtId="0" fontId="25" fillId="0" borderId="13" xfId="0" applyFont="1" applyBorder="1" applyAlignment="1">
      <alignment horizontal="center" vertical="top"/>
    </xf>
    <xf numFmtId="0" fontId="25" fillId="3" borderId="8" xfId="0" applyFont="1" applyFill="1" applyBorder="1" applyAlignment="1">
      <alignment vertical="center" wrapText="1"/>
    </xf>
    <xf numFmtId="0" fontId="25" fillId="3" borderId="7" xfId="0" applyFont="1" applyFill="1" applyBorder="1" applyAlignment="1">
      <alignment vertical="center" wrapText="1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/>
    </xf>
    <xf numFmtId="0" fontId="13" fillId="3" borderId="1" xfId="0" applyFont="1" applyFill="1" applyBorder="1" applyAlignment="1">
      <alignment vertical="center" wrapText="1"/>
    </xf>
    <xf numFmtId="0" fontId="14" fillId="0" borderId="12" xfId="0" applyFont="1" applyBorder="1" applyAlignment="1">
      <alignment horizontal="left" wrapText="1"/>
    </xf>
    <xf numFmtId="0" fontId="14" fillId="0" borderId="7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wrapText="1"/>
    </xf>
    <xf numFmtId="0" fontId="25" fillId="0" borderId="10" xfId="0" applyFont="1" applyBorder="1" applyAlignment="1">
      <alignment vertical="top" wrapText="1"/>
    </xf>
    <xf numFmtId="0" fontId="25" fillId="0" borderId="5" xfId="0" applyFont="1" applyBorder="1" applyAlignment="1">
      <alignment horizontal="center" vertical="top"/>
    </xf>
    <xf numFmtId="0" fontId="25" fillId="0" borderId="7" xfId="0" applyFont="1" applyBorder="1" applyAlignment="1">
      <alignment vertical="center" wrapText="1"/>
    </xf>
    <xf numFmtId="0" fontId="25" fillId="3" borderId="11" xfId="0" applyFont="1" applyFill="1" applyBorder="1" applyAlignment="1">
      <alignment vertical="center" wrapText="1"/>
    </xf>
    <xf numFmtId="0" fontId="26" fillId="0" borderId="8" xfId="0" applyFont="1" applyBorder="1" applyAlignment="1">
      <alignment horizontal="left" vertical="top" wrapText="1"/>
    </xf>
    <xf numFmtId="0" fontId="26" fillId="0" borderId="8" xfId="0" applyFont="1" applyBorder="1" applyAlignment="1">
      <alignment horizontal="center" vertical="top"/>
    </xf>
    <xf numFmtId="0" fontId="25" fillId="0" borderId="15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6" fillId="0" borderId="11" xfId="0" applyFont="1" applyBorder="1" applyAlignment="1">
      <alignment horizontal="left" wrapText="1"/>
    </xf>
    <xf numFmtId="0" fontId="64" fillId="8" borderId="12" xfId="0" applyFont="1" applyFill="1" applyBorder="1" applyAlignment="1">
      <alignment wrapText="1"/>
    </xf>
    <xf numFmtId="0" fontId="15" fillId="0" borderId="0" xfId="0" applyFont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7" fillId="3" borderId="0" xfId="0" applyFont="1" applyFill="1" applyAlignment="1">
      <alignment wrapText="1"/>
    </xf>
    <xf numFmtId="0" fontId="4" fillId="6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65" fillId="0" borderId="1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112" fillId="0" borderId="0" xfId="0" applyFont="1"/>
    <xf numFmtId="0" fontId="113" fillId="0" borderId="0" xfId="0" applyFont="1"/>
    <xf numFmtId="0" fontId="113" fillId="0" borderId="0" xfId="0" applyFont="1" applyAlignment="1">
      <alignment horizontal="left"/>
    </xf>
    <xf numFmtId="0" fontId="114" fillId="0" borderId="0" xfId="0" applyFont="1"/>
    <xf numFmtId="0" fontId="115" fillId="0" borderId="0" xfId="0" applyFont="1"/>
    <xf numFmtId="0" fontId="117" fillId="0" borderId="0" xfId="0" applyFont="1"/>
    <xf numFmtId="0" fontId="109" fillId="0" borderId="0" xfId="0" applyFont="1" applyAlignment="1">
      <alignment horizontal="center"/>
    </xf>
    <xf numFmtId="0" fontId="113" fillId="0" borderId="0" xfId="0" applyFont="1" applyAlignment="1">
      <alignment horizontal="center"/>
    </xf>
    <xf numFmtId="0" fontId="119" fillId="0" borderId="0" xfId="0" applyFont="1" applyAlignment="1">
      <alignment horizontal="center"/>
    </xf>
    <xf numFmtId="0" fontId="92" fillId="0" borderId="0" xfId="0" applyFont="1"/>
    <xf numFmtId="0" fontId="55" fillId="0" borderId="0" xfId="0" applyFont="1"/>
    <xf numFmtId="0" fontId="55" fillId="0" borderId="0" xfId="0" applyFont="1" applyAlignment="1">
      <alignment horizontal="left"/>
    </xf>
    <xf numFmtId="0" fontId="120" fillId="0" borderId="0" xfId="0" applyFont="1" applyAlignment="1">
      <alignment horizontal="left"/>
    </xf>
    <xf numFmtId="0" fontId="120" fillId="0" borderId="0" xfId="0" applyFont="1"/>
    <xf numFmtId="0" fontId="121" fillId="0" borderId="0" xfId="0" applyFont="1" applyAlignment="1">
      <alignment horizontal="left"/>
    </xf>
    <xf numFmtId="0" fontId="122" fillId="0" borderId="0" xfId="0" applyFont="1" applyAlignment="1">
      <alignment horizontal="left"/>
    </xf>
    <xf numFmtId="0" fontId="122" fillId="0" borderId="0" xfId="0" applyFont="1"/>
    <xf numFmtId="0" fontId="3" fillId="0" borderId="0" xfId="0" applyFont="1" applyAlignment="1">
      <alignment horizontal="left"/>
    </xf>
    <xf numFmtId="0" fontId="12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13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123" fillId="0" borderId="0" xfId="0" applyFont="1" applyAlignment="1">
      <alignment horizontal="center"/>
    </xf>
    <xf numFmtId="0" fontId="70" fillId="0" borderId="0" xfId="0" applyFont="1" applyAlignment="1">
      <alignment horizontal="left" vertical="center"/>
    </xf>
    <xf numFmtId="0" fontId="70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vertical="top"/>
    </xf>
    <xf numFmtId="0" fontId="68" fillId="3" borderId="0" xfId="0" applyFont="1" applyFill="1" applyAlignment="1">
      <alignment horizontal="center" vertical="center" wrapText="1"/>
    </xf>
    <xf numFmtId="0" fontId="68" fillId="3" borderId="0" xfId="0" applyFont="1" applyFill="1" applyAlignment="1">
      <alignment horizontal="center" wrapText="1"/>
    </xf>
    <xf numFmtId="0" fontId="68" fillId="3" borderId="0" xfId="0" applyFont="1" applyFill="1" applyAlignment="1">
      <alignment horizontal="center" vertical="center"/>
    </xf>
    <xf numFmtId="0" fontId="68" fillId="3" borderId="0" xfId="0" applyFont="1" applyFill="1"/>
    <xf numFmtId="0" fontId="68" fillId="3" borderId="0" xfId="0" applyFont="1" applyFill="1" applyAlignment="1">
      <alignment horizontal="left"/>
    </xf>
    <xf numFmtId="0" fontId="27" fillId="3" borderId="0" xfId="0" applyFont="1" applyFill="1" applyAlignment="1">
      <alignment horizontal="left"/>
    </xf>
    <xf numFmtId="0" fontId="27" fillId="3" borderId="3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  <xf numFmtId="0" fontId="27" fillId="3" borderId="37" xfId="0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horizontal="left"/>
    </xf>
    <xf numFmtId="0" fontId="57" fillId="3" borderId="3" xfId="0" applyFont="1" applyFill="1" applyBorder="1" applyAlignment="1">
      <alignment horizontal="center"/>
    </xf>
    <xf numFmtId="0" fontId="57" fillId="3" borderId="31" xfId="0" applyFont="1" applyFill="1" applyBorder="1" applyAlignment="1">
      <alignment horizontal="center"/>
    </xf>
    <xf numFmtId="0" fontId="57" fillId="3" borderId="21" xfId="0" applyFont="1" applyFill="1" applyBorder="1" applyAlignment="1">
      <alignment horizontal="center"/>
    </xf>
    <xf numFmtId="0" fontId="57" fillId="3" borderId="20" xfId="0" applyFont="1" applyFill="1" applyBorder="1" applyAlignment="1">
      <alignment horizontal="center"/>
    </xf>
    <xf numFmtId="0" fontId="57" fillId="3" borderId="6" xfId="0" applyFont="1" applyFill="1" applyBorder="1" applyAlignment="1">
      <alignment horizontal="center" vertical="center" wrapText="1"/>
    </xf>
    <xf numFmtId="0" fontId="57" fillId="3" borderId="6" xfId="0" applyFont="1" applyFill="1" applyBorder="1" applyAlignment="1">
      <alignment horizontal="left" vertical="center" wrapText="1"/>
    </xf>
    <xf numFmtId="0" fontId="57" fillId="3" borderId="9" xfId="0" applyFont="1" applyFill="1" applyBorder="1" applyAlignment="1">
      <alignment horizontal="center" vertical="center" wrapText="1"/>
    </xf>
    <xf numFmtId="0" fontId="57" fillId="3" borderId="28" xfId="0" applyFont="1" applyFill="1" applyBorder="1" applyAlignment="1">
      <alignment horizontal="center" vertical="center" wrapText="1"/>
    </xf>
    <xf numFmtId="0" fontId="57" fillId="3" borderId="23" xfId="0" applyFont="1" applyFill="1" applyBorder="1" applyAlignment="1">
      <alignment horizontal="center" vertical="center" wrapText="1"/>
    </xf>
    <xf numFmtId="0" fontId="57" fillId="3" borderId="22" xfId="0" applyFont="1" applyFill="1" applyBorder="1" applyAlignment="1">
      <alignment horizontal="center" vertical="center" wrapText="1"/>
    </xf>
    <xf numFmtId="0" fontId="57" fillId="3" borderId="7" xfId="0" applyFont="1" applyFill="1" applyBorder="1" applyAlignment="1">
      <alignment horizontal="center" vertical="center" wrapText="1"/>
    </xf>
    <xf numFmtId="0" fontId="57" fillId="3" borderId="8" xfId="0" applyFont="1" applyFill="1" applyBorder="1" applyAlignment="1">
      <alignment horizontal="left" vertical="center" wrapText="1"/>
    </xf>
    <xf numFmtId="0" fontId="57" fillId="3" borderId="11" xfId="0" applyFont="1" applyFill="1" applyBorder="1" applyAlignment="1">
      <alignment horizontal="center" vertical="center" wrapText="1"/>
    </xf>
    <xf numFmtId="0" fontId="57" fillId="3" borderId="30" xfId="0" applyFont="1" applyFill="1" applyBorder="1" applyAlignment="1">
      <alignment horizontal="center" vertical="center" wrapText="1"/>
    </xf>
    <xf numFmtId="0" fontId="57" fillId="3" borderId="27" xfId="0" applyFont="1" applyFill="1" applyBorder="1" applyAlignment="1">
      <alignment horizontal="center" vertical="center" wrapText="1"/>
    </xf>
    <xf numFmtId="0" fontId="57" fillId="3" borderId="26" xfId="0" applyFont="1" applyFill="1" applyBorder="1" applyAlignment="1">
      <alignment horizontal="center" vertical="center" wrapText="1"/>
    </xf>
    <xf numFmtId="0" fontId="57" fillId="3" borderId="23" xfId="0" applyFont="1" applyFill="1" applyBorder="1"/>
    <xf numFmtId="0" fontId="57" fillId="3" borderId="7" xfId="0" applyFont="1" applyFill="1" applyBorder="1" applyAlignment="1">
      <alignment horizontal="left" vertical="center" wrapText="1"/>
    </xf>
    <xf numFmtId="0" fontId="57" fillId="3" borderId="3" xfId="0" applyFont="1" applyFill="1" applyBorder="1" applyAlignment="1">
      <alignment horizontal="left"/>
    </xf>
    <xf numFmtId="0" fontId="57" fillId="3" borderId="21" xfId="0" applyFont="1" applyFill="1" applyBorder="1" applyAlignment="1">
      <alignment horizontal="center" vertical="center"/>
    </xf>
    <xf numFmtId="0" fontId="57" fillId="3" borderId="5" xfId="0" applyFont="1" applyFill="1" applyBorder="1" applyAlignment="1">
      <alignment horizontal="center"/>
    </xf>
    <xf numFmtId="0" fontId="57" fillId="3" borderId="21" xfId="0" applyFont="1" applyFill="1" applyBorder="1"/>
    <xf numFmtId="0" fontId="57" fillId="3" borderId="11" xfId="0" applyFont="1" applyFill="1" applyBorder="1" applyAlignment="1">
      <alignment horizontal="left" vertical="center"/>
    </xf>
    <xf numFmtId="0" fontId="57" fillId="3" borderId="11" xfId="0" applyFont="1" applyFill="1" applyBorder="1" applyAlignment="1">
      <alignment horizontal="center" vertical="center"/>
    </xf>
    <xf numFmtId="0" fontId="57" fillId="3" borderId="31" xfId="0" applyFont="1" applyFill="1" applyBorder="1" applyAlignment="1">
      <alignment horizontal="center" vertical="center"/>
    </xf>
    <xf numFmtId="0" fontId="57" fillId="3" borderId="25" xfId="0" applyFont="1" applyFill="1" applyBorder="1" applyAlignment="1">
      <alignment vertical="center"/>
    </xf>
    <xf numFmtId="0" fontId="57" fillId="3" borderId="8" xfId="0" applyFont="1" applyFill="1" applyBorder="1" applyAlignment="1">
      <alignment horizontal="center" vertical="center" wrapText="1"/>
    </xf>
    <xf numFmtId="0" fontId="57" fillId="3" borderId="29" xfId="0" applyFont="1" applyFill="1" applyBorder="1" applyAlignment="1">
      <alignment horizontal="center" vertical="center" wrapText="1"/>
    </xf>
    <xf numFmtId="0" fontId="57" fillId="3" borderId="25" xfId="0" applyFont="1" applyFill="1" applyBorder="1" applyAlignment="1">
      <alignment horizontal="center" vertical="center" wrapText="1"/>
    </xf>
    <xf numFmtId="0" fontId="57" fillId="3" borderId="2" xfId="0" applyFont="1" applyFill="1" applyBorder="1" applyAlignment="1">
      <alignment vertical="center"/>
    </xf>
    <xf numFmtId="0" fontId="57" fillId="3" borderId="3" xfId="0" applyFont="1" applyFill="1" applyBorder="1" applyAlignment="1">
      <alignment horizontal="left" vertical="center"/>
    </xf>
    <xf numFmtId="0" fontId="57" fillId="3" borderId="3" xfId="0" applyFont="1" applyFill="1" applyBorder="1" applyAlignment="1">
      <alignment horizontal="center" vertical="center"/>
    </xf>
    <xf numFmtId="0" fontId="57" fillId="3" borderId="20" xfId="0" applyFont="1" applyFill="1" applyBorder="1" applyAlignment="1">
      <alignment horizontal="center" vertical="center"/>
    </xf>
    <xf numFmtId="0" fontId="57" fillId="3" borderId="6" xfId="0" applyFont="1" applyFill="1" applyBorder="1" applyAlignment="1">
      <alignment horizontal="left" vertical="top"/>
    </xf>
    <xf numFmtId="0" fontId="57" fillId="3" borderId="8" xfId="0" applyFont="1" applyFill="1" applyBorder="1" applyAlignment="1">
      <alignment horizontal="left" vertical="top"/>
    </xf>
    <xf numFmtId="0" fontId="57" fillId="3" borderId="7" xfId="0" applyFont="1" applyFill="1" applyBorder="1" applyAlignment="1">
      <alignment horizontal="left" vertical="top"/>
    </xf>
    <xf numFmtId="0" fontId="57" fillId="3" borderId="4" xfId="0" applyFont="1" applyFill="1" applyBorder="1" applyAlignment="1">
      <alignment horizontal="center" vertical="center"/>
    </xf>
    <xf numFmtId="0" fontId="70" fillId="3" borderId="0" xfId="0" applyFont="1" applyFill="1" applyAlignment="1">
      <alignment vertical="center"/>
    </xf>
    <xf numFmtId="0" fontId="57" fillId="3" borderId="7" xfId="0" applyFont="1" applyFill="1" applyBorder="1" applyAlignment="1">
      <alignment horizontal="center" vertical="center"/>
    </xf>
    <xf numFmtId="0" fontId="57" fillId="3" borderId="6" xfId="0" applyFont="1" applyFill="1" applyBorder="1" applyAlignment="1">
      <alignment horizontal="left" vertical="center"/>
    </xf>
    <xf numFmtId="0" fontId="57" fillId="3" borderId="9" xfId="0" applyFont="1" applyFill="1" applyBorder="1" applyAlignment="1">
      <alignment horizontal="center" vertical="center"/>
    </xf>
    <xf numFmtId="0" fontId="57" fillId="3" borderId="8" xfId="0" applyFont="1" applyFill="1" applyBorder="1" applyAlignment="1">
      <alignment horizontal="left" vertical="center"/>
    </xf>
    <xf numFmtId="0" fontId="57" fillId="3" borderId="7" xfId="0" applyFont="1" applyFill="1" applyBorder="1" applyAlignment="1">
      <alignment horizontal="left" vertical="center"/>
    </xf>
    <xf numFmtId="0" fontId="57" fillId="3" borderId="12" xfId="0" applyFont="1" applyFill="1" applyBorder="1" applyAlignment="1">
      <alignment horizontal="center" vertical="center"/>
    </xf>
    <xf numFmtId="0" fontId="57" fillId="3" borderId="23" xfId="0" applyFont="1" applyFill="1" applyBorder="1" applyAlignment="1">
      <alignment horizontal="center" vertical="top"/>
    </xf>
    <xf numFmtId="0" fontId="57" fillId="3" borderId="25" xfId="0" applyFont="1" applyFill="1" applyBorder="1" applyAlignment="1">
      <alignment horizontal="center" vertical="top"/>
    </xf>
    <xf numFmtId="0" fontId="57" fillId="3" borderId="8" xfId="0" applyFont="1" applyFill="1" applyBorder="1" applyAlignment="1">
      <alignment horizontal="center" vertical="center"/>
    </xf>
    <xf numFmtId="0" fontId="57" fillId="3" borderId="8" xfId="0" applyFont="1" applyFill="1" applyBorder="1" applyAlignment="1">
      <alignment horizontal="center" vertical="top"/>
    </xf>
    <xf numFmtId="0" fontId="57" fillId="3" borderId="2" xfId="0" applyFont="1" applyFill="1" applyBorder="1" applyAlignment="1">
      <alignment horizontal="center" vertical="center"/>
    </xf>
    <xf numFmtId="0" fontId="57" fillId="3" borderId="6" xfId="0" applyFont="1" applyFill="1" applyBorder="1" applyAlignment="1">
      <alignment horizontal="center" vertical="center"/>
    </xf>
    <xf numFmtId="0" fontId="57" fillId="3" borderId="6" xfId="0" applyFont="1" applyFill="1" applyBorder="1" applyAlignment="1">
      <alignment horizontal="left" wrapText="1"/>
    </xf>
    <xf numFmtId="0" fontId="57" fillId="3" borderId="8" xfId="0" applyFont="1" applyFill="1" applyBorder="1" applyAlignment="1">
      <alignment horizontal="left" wrapText="1"/>
    </xf>
    <xf numFmtId="0" fontId="57" fillId="3" borderId="9" xfId="0" applyFont="1" applyFill="1" applyBorder="1" applyAlignment="1">
      <alignment horizontal="left" vertical="center"/>
    </xf>
    <xf numFmtId="0" fontId="70" fillId="3" borderId="7" xfId="0" applyFont="1" applyFill="1" applyBorder="1" applyAlignment="1">
      <alignment horizontal="center" vertical="center" wrapText="1"/>
    </xf>
    <xf numFmtId="0" fontId="57" fillId="3" borderId="2" xfId="0" applyFont="1" applyFill="1" applyBorder="1" applyAlignment="1">
      <alignment horizontal="left" vertical="center"/>
    </xf>
    <xf numFmtId="0" fontId="57" fillId="3" borderId="24" xfId="0" applyFont="1" applyFill="1" applyBorder="1" applyAlignment="1">
      <alignment horizontal="center" vertical="center" wrapText="1"/>
    </xf>
    <xf numFmtId="0" fontId="57" fillId="3" borderId="2" xfId="0" applyFont="1" applyFill="1" applyBorder="1" applyAlignment="1">
      <alignment horizontal="center" vertical="center" wrapText="1"/>
    </xf>
    <xf numFmtId="0" fontId="57" fillId="3" borderId="21" xfId="0" applyFont="1" applyFill="1" applyBorder="1" applyAlignment="1">
      <alignment horizontal="center" vertical="center" wrapText="1"/>
    </xf>
    <xf numFmtId="0" fontId="57" fillId="3" borderId="20" xfId="0" applyFont="1" applyFill="1" applyBorder="1" applyAlignment="1">
      <alignment horizontal="center" vertical="center" wrapText="1"/>
    </xf>
    <xf numFmtId="0" fontId="57" fillId="3" borderId="31" xfId="0" applyFont="1" applyFill="1" applyBorder="1" applyAlignment="1">
      <alignment horizontal="center" vertical="center" wrapText="1"/>
    </xf>
    <xf numFmtId="0" fontId="57" fillId="3" borderId="12" xfId="0" applyFont="1" applyFill="1" applyBorder="1" applyAlignment="1">
      <alignment horizontal="left" vertical="center"/>
    </xf>
    <xf numFmtId="0" fontId="26" fillId="3" borderId="8" xfId="0" applyFont="1" applyFill="1" applyBorder="1" applyAlignment="1">
      <alignment horizontal="center" vertical="center" textRotation="90" wrapText="1"/>
    </xf>
    <xf numFmtId="0" fontId="26" fillId="3" borderId="2" xfId="0" applyFont="1" applyFill="1" applyBorder="1" applyAlignment="1">
      <alignment horizontal="center" vertical="center" textRotation="90" wrapText="1"/>
    </xf>
    <xf numFmtId="0" fontId="57" fillId="3" borderId="3" xfId="0" applyFont="1" applyFill="1" applyBorder="1" applyAlignment="1">
      <alignment horizontal="center" vertical="center" wrapText="1"/>
    </xf>
    <xf numFmtId="0" fontId="27" fillId="3" borderId="32" xfId="0" applyFont="1" applyFill="1" applyBorder="1" applyAlignment="1">
      <alignment horizontal="center" vertical="center" wrapText="1"/>
    </xf>
    <xf numFmtId="0" fontId="57" fillId="3" borderId="33" xfId="0" applyFont="1" applyFill="1" applyBorder="1" applyAlignment="1">
      <alignment horizontal="center" vertical="center"/>
    </xf>
    <xf numFmtId="0" fontId="27" fillId="3" borderId="33" xfId="0" applyFont="1" applyFill="1" applyBorder="1" applyAlignment="1">
      <alignment horizontal="left" vertical="center"/>
    </xf>
    <xf numFmtId="0" fontId="27" fillId="3" borderId="32" xfId="0" applyFont="1" applyFill="1" applyBorder="1" applyAlignment="1">
      <alignment horizontal="center" vertical="center"/>
    </xf>
    <xf numFmtId="0" fontId="27" fillId="3" borderId="34" xfId="0" applyFont="1" applyFill="1" applyBorder="1" applyAlignment="1">
      <alignment horizontal="center" vertical="center"/>
    </xf>
    <xf numFmtId="0" fontId="27" fillId="3" borderId="35" xfId="0" applyFont="1" applyFill="1" applyBorder="1" applyAlignment="1">
      <alignment horizontal="center" vertical="center"/>
    </xf>
    <xf numFmtId="0" fontId="27" fillId="3" borderId="33" xfId="0" applyFont="1" applyFill="1" applyBorder="1" applyAlignment="1">
      <alignment horizontal="center" vertical="center"/>
    </xf>
    <xf numFmtId="0" fontId="57" fillId="3" borderId="0" xfId="0" applyFont="1" applyFill="1" applyAlignment="1">
      <alignment horizontal="center" vertical="center"/>
    </xf>
    <xf numFmtId="0" fontId="77" fillId="3" borderId="0" xfId="0" applyFont="1" applyFill="1" applyAlignment="1">
      <alignment horizontal="center" vertical="center" wrapText="1"/>
    </xf>
    <xf numFmtId="0" fontId="78" fillId="3" borderId="0" xfId="0" applyFont="1" applyFill="1" applyAlignment="1">
      <alignment horizontal="left"/>
    </xf>
    <xf numFmtId="0" fontId="75" fillId="3" borderId="0" xfId="0" applyFont="1" applyFill="1" applyAlignment="1">
      <alignment horizontal="center" vertical="center" wrapText="1"/>
    </xf>
    <xf numFmtId="0" fontId="7" fillId="3" borderId="0" xfId="0" applyFont="1" applyFill="1"/>
    <xf numFmtId="0" fontId="7" fillId="3" borderId="0" xfId="0" applyFont="1" applyFill="1" applyAlignment="1">
      <alignment horizontal="left"/>
    </xf>
    <xf numFmtId="0" fontId="68" fillId="3" borderId="0" xfId="0" applyFont="1" applyFill="1" applyAlignment="1">
      <alignment wrapText="1"/>
    </xf>
    <xf numFmtId="0" fontId="74" fillId="3" borderId="0" xfId="0" applyFont="1" applyFill="1" applyAlignment="1">
      <alignment horizontal="center" vertical="center" wrapText="1"/>
    </xf>
    <xf numFmtId="0" fontId="74" fillId="3" borderId="0" xfId="0" applyFont="1" applyFill="1"/>
    <xf numFmtId="0" fontId="57" fillId="3" borderId="2" xfId="0" applyFont="1" applyFill="1" applyBorder="1" applyProtection="1">
      <protection hidden="1"/>
    </xf>
    <xf numFmtId="49" fontId="57" fillId="3" borderId="2" xfId="0" applyNumberFormat="1" applyFont="1" applyFill="1" applyBorder="1" applyAlignment="1" applyProtection="1">
      <alignment horizontal="center"/>
      <protection hidden="1"/>
    </xf>
    <xf numFmtId="0" fontId="57" fillId="3" borderId="2" xfId="0" applyFont="1" applyFill="1" applyBorder="1" applyAlignment="1">
      <alignment vertical="center" wrapText="1"/>
    </xf>
    <xf numFmtId="0" fontId="93" fillId="3" borderId="0" xfId="0" applyFont="1" applyFill="1" applyAlignment="1">
      <alignment horizontal="center" vertical="center" wrapText="1"/>
    </xf>
    <xf numFmtId="0" fontId="101" fillId="3" borderId="0" xfId="0" applyFont="1" applyFill="1"/>
    <xf numFmtId="0" fontId="101" fillId="3" borderId="0" xfId="0" applyFont="1" applyFill="1" applyAlignment="1">
      <alignment horizontal="left"/>
    </xf>
    <xf numFmtId="0" fontId="68" fillId="3" borderId="0" xfId="0" applyFont="1" applyFill="1" applyAlignment="1">
      <alignment horizontal="left" wrapText="1"/>
    </xf>
    <xf numFmtId="0" fontId="73" fillId="3" borderId="0" xfId="0" applyFont="1" applyFill="1"/>
    <xf numFmtId="0" fontId="27" fillId="3" borderId="2" xfId="0" applyFont="1" applyFill="1" applyBorder="1" applyAlignment="1">
      <alignment horizontal="left" vertical="center"/>
    </xf>
    <xf numFmtId="0" fontId="74" fillId="3" borderId="0" xfId="0" applyFont="1" applyFill="1" applyAlignment="1">
      <alignment horizontal="center" vertical="center"/>
    </xf>
    <xf numFmtId="0" fontId="27" fillId="3" borderId="15" xfId="0" applyFont="1" applyFill="1" applyBorder="1" applyAlignment="1">
      <alignment horizontal="center" vertical="center" wrapText="1"/>
    </xf>
    <xf numFmtId="0" fontId="70" fillId="3" borderId="0" xfId="0" applyFont="1" applyFill="1" applyAlignment="1">
      <alignment horizontal="center" vertical="center"/>
    </xf>
    <xf numFmtId="0" fontId="78" fillId="3" borderId="0" xfId="0" applyFont="1" applyFill="1"/>
    <xf numFmtId="0" fontId="70" fillId="3" borderId="0" xfId="0" applyFont="1" applyFill="1" applyAlignment="1">
      <alignment horizontal="left"/>
    </xf>
    <xf numFmtId="0" fontId="70" fillId="3" borderId="8" xfId="0" applyFont="1" applyFill="1" applyBorder="1" applyAlignment="1">
      <alignment horizontal="center" vertical="center"/>
    </xf>
    <xf numFmtId="0" fontId="70" fillId="3" borderId="7" xfId="0" applyFont="1" applyFill="1" applyBorder="1" applyAlignment="1">
      <alignment horizontal="center" vertical="center"/>
    </xf>
    <xf numFmtId="0" fontId="7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01" fillId="3" borderId="0" xfId="0" applyFont="1" applyFill="1" applyAlignment="1">
      <alignment horizontal="center" vertical="center"/>
    </xf>
    <xf numFmtId="49" fontId="57" fillId="3" borderId="11" xfId="0" applyNumberFormat="1" applyFont="1" applyFill="1" applyBorder="1" applyAlignment="1">
      <alignment horizontal="center" vertical="center"/>
    </xf>
    <xf numFmtId="0" fontId="57" fillId="3" borderId="12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57" fillId="3" borderId="28" xfId="0" applyFont="1" applyFill="1" applyBorder="1"/>
    <xf numFmtId="0" fontId="57" fillId="3" borderId="31" xfId="0" applyFont="1" applyFill="1" applyBorder="1"/>
    <xf numFmtId="0" fontId="57" fillId="3" borderId="29" xfId="0" applyFont="1" applyFill="1" applyBorder="1" applyAlignment="1">
      <alignment vertical="center"/>
    </xf>
    <xf numFmtId="0" fontId="57" fillId="3" borderId="0" xfId="0" applyFont="1" applyFill="1" applyAlignment="1">
      <alignment horizontal="left"/>
    </xf>
    <xf numFmtId="0" fontId="15" fillId="3" borderId="6" xfId="0" applyFont="1" applyFill="1" applyBorder="1" applyAlignment="1">
      <alignment horizontal="center" vertical="top" wrapText="1"/>
    </xf>
    <xf numFmtId="0" fontId="15" fillId="3" borderId="8" xfId="0" applyFont="1" applyFill="1" applyBorder="1" applyAlignment="1">
      <alignment horizontal="center" vertical="top" wrapText="1"/>
    </xf>
    <xf numFmtId="49" fontId="57" fillId="0" borderId="0" xfId="0" applyNumberFormat="1" applyFont="1" applyAlignment="1">
      <alignment horizontal="center" vertical="top" wrapText="1"/>
    </xf>
    <xf numFmtId="0" fontId="57" fillId="0" borderId="0" xfId="0" applyFont="1" applyAlignment="1">
      <alignment horizontal="center" vertical="top" wrapText="1"/>
    </xf>
    <xf numFmtId="0" fontId="57" fillId="3" borderId="24" xfId="0" applyFont="1" applyFill="1" applyBorder="1" applyAlignment="1">
      <alignment horizontal="left" vertical="center"/>
    </xf>
    <xf numFmtId="0" fontId="57" fillId="3" borderId="25" xfId="0" applyFont="1" applyFill="1" applyBorder="1" applyAlignment="1">
      <alignment horizontal="left" vertical="center"/>
    </xf>
    <xf numFmtId="0" fontId="110" fillId="0" borderId="1" xfId="0" applyFont="1" applyBorder="1" applyAlignment="1">
      <alignment horizontal="center" vertical="center" wrapText="1"/>
    </xf>
    <xf numFmtId="0" fontId="110" fillId="0" borderId="12" xfId="0" applyFont="1" applyBorder="1" applyAlignment="1">
      <alignment horizontal="center" vertical="center" wrapText="1"/>
    </xf>
    <xf numFmtId="0" fontId="110" fillId="0" borderId="11" xfId="0" applyFont="1" applyBorder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57" fillId="3" borderId="23" xfId="0" applyFont="1" applyFill="1" applyBorder="1" applyAlignment="1">
      <alignment horizontal="left" vertical="center"/>
    </xf>
    <xf numFmtId="49" fontId="15" fillId="4" borderId="0" xfId="0" applyNumberFormat="1" applyFont="1" applyFill="1"/>
    <xf numFmtId="49" fontId="15" fillId="3" borderId="0" xfId="0" applyNumberFormat="1" applyFont="1" applyFill="1"/>
    <xf numFmtId="0" fontId="15" fillId="3" borderId="0" xfId="0" applyFont="1" applyFill="1"/>
    <xf numFmtId="0" fontId="18" fillId="3" borderId="0" xfId="0" applyFont="1" applyFill="1" applyAlignment="1">
      <alignment horizontal="left"/>
    </xf>
    <xf numFmtId="0" fontId="18" fillId="3" borderId="0" xfId="0" applyFont="1" applyFill="1"/>
    <xf numFmtId="0" fontId="18" fillId="0" borderId="0" xfId="0" applyFont="1" applyAlignment="1">
      <alignment horizontal="left" wrapText="1"/>
    </xf>
    <xf numFmtId="0" fontId="18" fillId="3" borderId="0" xfId="0" applyFont="1" applyFill="1" applyAlignment="1">
      <alignment horizontal="left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/>
    </xf>
    <xf numFmtId="166" fontId="37" fillId="3" borderId="0" xfId="0" applyNumberFormat="1" applyFont="1" applyFill="1" applyAlignment="1">
      <alignment horizontal="center"/>
    </xf>
    <xf numFmtId="166" fontId="25" fillId="3" borderId="2" xfId="0" applyNumberFormat="1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0" fontId="1" fillId="3" borderId="0" xfId="0" applyFont="1" applyFill="1"/>
    <xf numFmtId="0" fontId="82" fillId="3" borderId="0" xfId="0" applyFont="1" applyFill="1"/>
    <xf numFmtId="0" fontId="0" fillId="8" borderId="0" xfId="0" applyFill="1" applyAlignment="1">
      <alignment wrapText="1"/>
    </xf>
    <xf numFmtId="0" fontId="4" fillId="0" borderId="2" xfId="1" applyFont="1" applyBorder="1" applyAlignment="1">
      <alignment horizontal="right" vertical="top" wrapText="1"/>
    </xf>
    <xf numFmtId="0" fontId="32" fillId="0" borderId="4" xfId="0" applyFont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49" fontId="15" fillId="3" borderId="2" xfId="0" applyNumberFormat="1" applyFont="1" applyFill="1" applyBorder="1" applyAlignment="1">
      <alignment horizontal="center" vertical="center" wrapText="1"/>
    </xf>
    <xf numFmtId="49" fontId="18" fillId="3" borderId="2" xfId="0" applyNumberFormat="1" applyFont="1" applyFill="1" applyBorder="1" applyAlignment="1">
      <alignment horizontal="center" vertical="center" wrapText="1"/>
    </xf>
    <xf numFmtId="0" fontId="59" fillId="0" borderId="0" xfId="0" applyFont="1"/>
    <xf numFmtId="0" fontId="126" fillId="0" borderId="0" xfId="0" applyFont="1"/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5" fillId="0" borderId="2" xfId="0" applyNumberFormat="1" applyFont="1" applyBorder="1" applyAlignment="1">
      <alignment horizontal="center" vertical="top"/>
    </xf>
    <xf numFmtId="0" fontId="8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9" fontId="18" fillId="0" borderId="2" xfId="0" applyNumberFormat="1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49" fontId="15" fillId="3" borderId="8" xfId="0" applyNumberFormat="1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left" vertical="center" wrapText="1"/>
    </xf>
    <xf numFmtId="49" fontId="15" fillId="3" borderId="7" xfId="0" applyNumberFormat="1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/>
    </xf>
    <xf numFmtId="0" fontId="15" fillId="3" borderId="0" xfId="0" applyFont="1" applyFill="1" applyAlignment="1">
      <alignment horizontal="center" vertical="center" wrapText="1"/>
    </xf>
    <xf numFmtId="49" fontId="15" fillId="3" borderId="16" xfId="0" applyNumberFormat="1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15" fillId="3" borderId="2" xfId="0" applyFont="1" applyFill="1" applyBorder="1" applyProtection="1">
      <protection hidden="1"/>
    </xf>
    <xf numFmtId="49" fontId="15" fillId="3" borderId="2" xfId="0" applyNumberFormat="1" applyFont="1" applyFill="1" applyBorder="1" applyAlignment="1" applyProtection="1">
      <alignment horizontal="center"/>
      <protection hidden="1"/>
    </xf>
    <xf numFmtId="0" fontId="15" fillId="3" borderId="2" xfId="0" applyFont="1" applyFill="1" applyBorder="1" applyAlignment="1">
      <alignment horizontal="left" wrapText="1"/>
    </xf>
    <xf numFmtId="49" fontId="15" fillId="3" borderId="2" xfId="0" applyNumberFormat="1" applyFont="1" applyFill="1" applyBorder="1" applyAlignment="1">
      <alignment horizontal="center"/>
    </xf>
    <xf numFmtId="0" fontId="15" fillId="3" borderId="2" xfId="0" applyFont="1" applyFill="1" applyBorder="1" applyAlignment="1">
      <alignment horizontal="left"/>
    </xf>
    <xf numFmtId="0" fontId="15" fillId="3" borderId="11" xfId="0" applyFont="1" applyFill="1" applyBorder="1"/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8" fillId="3" borderId="7" xfId="0" applyFont="1" applyFill="1" applyBorder="1" applyAlignment="1">
      <alignment horizontal="center"/>
    </xf>
    <xf numFmtId="49" fontId="15" fillId="3" borderId="6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57" fillId="4" borderId="0" xfId="0" applyFont="1" applyFill="1"/>
    <xf numFmtId="49" fontId="57" fillId="4" borderId="0" xfId="0" applyNumberFormat="1" applyFont="1" applyFill="1"/>
    <xf numFmtId="49" fontId="57" fillId="3" borderId="0" xfId="0" applyNumberFormat="1" applyFont="1" applyFill="1"/>
    <xf numFmtId="0" fontId="28" fillId="3" borderId="0" xfId="0" applyFont="1" applyFill="1" applyAlignment="1">
      <alignment horizontal="left"/>
    </xf>
    <xf numFmtId="0" fontId="57" fillId="0" borderId="11" xfId="0" applyFont="1" applyBorder="1" applyAlignment="1">
      <alignment horizontal="center"/>
    </xf>
    <xf numFmtId="0" fontId="110" fillId="3" borderId="12" xfId="0" applyFont="1" applyFill="1" applyBorder="1" applyAlignment="1">
      <alignment horizontal="center" vertical="center" wrapText="1"/>
    </xf>
    <xf numFmtId="0" fontId="110" fillId="3" borderId="1" xfId="0" applyFont="1" applyFill="1" applyBorder="1" applyAlignment="1">
      <alignment horizontal="center" vertical="center" wrapText="1"/>
    </xf>
    <xf numFmtId="0" fontId="64" fillId="5" borderId="12" xfId="0" applyFont="1" applyFill="1" applyBorder="1" applyAlignment="1">
      <alignment horizontal="center" vertical="center" wrapText="1"/>
    </xf>
    <xf numFmtId="0" fontId="64" fillId="5" borderId="1" xfId="0" applyFont="1" applyFill="1" applyBorder="1" applyAlignment="1">
      <alignment horizontal="center" vertical="center" wrapText="1"/>
    </xf>
    <xf numFmtId="0" fontId="57" fillId="5" borderId="0" xfId="0" applyFont="1" applyFill="1" applyAlignment="1">
      <alignment horizontal="center" vertical="center" wrapText="1"/>
    </xf>
    <xf numFmtId="0" fontId="32" fillId="0" borderId="6" xfId="0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top" wrapText="1"/>
    </xf>
    <xf numFmtId="0" fontId="32" fillId="0" borderId="5" xfId="0" applyFont="1" applyBorder="1" applyAlignment="1">
      <alignment horizontal="center" vertical="top" wrapText="1"/>
    </xf>
    <xf numFmtId="0" fontId="32" fillId="0" borderId="7" xfId="0" applyFont="1" applyBorder="1" applyAlignment="1">
      <alignment horizontal="center" vertical="top" wrapText="1"/>
    </xf>
    <xf numFmtId="0" fontId="32" fillId="3" borderId="6" xfId="0" applyFont="1" applyFill="1" applyBorder="1" applyAlignment="1">
      <alignment horizontal="center" vertical="top" wrapText="1"/>
    </xf>
    <xf numFmtId="0" fontId="32" fillId="3" borderId="7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91" fillId="3" borderId="0" xfId="0" applyFont="1" applyFill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 wrapText="1"/>
    </xf>
    <xf numFmtId="0" fontId="83" fillId="3" borderId="0" xfId="0" applyFont="1" applyFill="1" applyAlignment="1">
      <alignment horizontal="center" vertical="center" wrapText="1"/>
    </xf>
    <xf numFmtId="0" fontId="86" fillId="3" borderId="0" xfId="0" applyFont="1" applyFill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64" fillId="3" borderId="0" xfId="0" applyFont="1" applyFill="1" applyAlignment="1">
      <alignment wrapText="1"/>
    </xf>
    <xf numFmtId="0" fontId="65" fillId="3" borderId="0" xfId="0" applyFont="1" applyFill="1"/>
    <xf numFmtId="0" fontId="21" fillId="3" borderId="0" xfId="0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111" fillId="3" borderId="12" xfId="0" applyFont="1" applyFill="1" applyBorder="1" applyAlignment="1">
      <alignment wrapText="1"/>
    </xf>
    <xf numFmtId="0" fontId="111" fillId="3" borderId="1" xfId="0" applyFont="1" applyFill="1" applyBorder="1" applyAlignment="1">
      <alignment wrapText="1"/>
    </xf>
    <xf numFmtId="0" fontId="111" fillId="3" borderId="1" xfId="0" applyFont="1" applyFill="1" applyBorder="1"/>
    <xf numFmtId="0" fontId="22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37" fillId="0" borderId="14" xfId="0" applyFont="1" applyBorder="1" applyAlignment="1">
      <alignment horizontal="center" vertical="top" wrapText="1"/>
    </xf>
    <xf numFmtId="0" fontId="9" fillId="0" borderId="15" xfId="0" applyFont="1" applyBorder="1"/>
    <xf numFmtId="0" fontId="1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top"/>
    </xf>
    <xf numFmtId="0" fontId="9" fillId="0" borderId="0" xfId="0" applyFont="1" applyAlignment="1">
      <alignment wrapText="1"/>
    </xf>
    <xf numFmtId="0" fontId="35" fillId="0" borderId="0" xfId="0" applyFont="1" applyAlignment="1">
      <alignment horizontal="left" vertical="center" wrapText="1"/>
    </xf>
    <xf numFmtId="0" fontId="127" fillId="6" borderId="0" xfId="0" applyFont="1" applyFill="1" applyAlignment="1">
      <alignment horizontal="center" vertical="center" wrapText="1"/>
    </xf>
    <xf numFmtId="0" fontId="108" fillId="2" borderId="0" xfId="0" applyFont="1" applyFill="1" applyAlignment="1">
      <alignment horizontal="center" vertical="center" wrapText="1"/>
    </xf>
    <xf numFmtId="0" fontId="108" fillId="8" borderId="0" xfId="0" applyFont="1" applyFill="1" applyAlignment="1">
      <alignment wrapText="1"/>
    </xf>
    <xf numFmtId="0" fontId="127" fillId="2" borderId="0" xfId="0" applyFont="1" applyFill="1" applyAlignment="1">
      <alignment horizontal="center" vertical="center" wrapText="1"/>
    </xf>
    <xf numFmtId="0" fontId="128" fillId="2" borderId="0" xfId="0" applyFont="1" applyFill="1" applyAlignment="1">
      <alignment horizontal="center" vertical="center" wrapText="1"/>
    </xf>
    <xf numFmtId="0" fontId="129" fillId="8" borderId="0" xfId="0" applyFont="1" applyFill="1" applyAlignment="1">
      <alignment wrapText="1"/>
    </xf>
    <xf numFmtId="0" fontId="8" fillId="3" borderId="0" xfId="0" applyFont="1" applyFill="1" applyAlignment="1">
      <alignment horizontal="center" vertical="center" wrapText="1"/>
    </xf>
    <xf numFmtId="0" fontId="0" fillId="8" borderId="0" xfId="0" applyFill="1"/>
    <xf numFmtId="0" fontId="82" fillId="7" borderId="0" xfId="0" applyFont="1" applyFill="1"/>
    <xf numFmtId="0" fontId="80" fillId="0" borderId="0" xfId="0" applyFont="1" applyAlignment="1">
      <alignment horizontal="center" vertical="center"/>
    </xf>
    <xf numFmtId="0" fontId="110" fillId="0" borderId="11" xfId="0" applyFont="1" applyBorder="1" applyAlignment="1">
      <alignment horizontal="center" vertical="center"/>
    </xf>
    <xf numFmtId="0" fontId="1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8" borderId="0" xfId="0" applyFont="1" applyFill="1"/>
    <xf numFmtId="0" fontId="11" fillId="0" borderId="0" xfId="0" applyFont="1" applyAlignment="1">
      <alignment wrapText="1"/>
    </xf>
    <xf numFmtId="0" fontId="9" fillId="6" borderId="0" xfId="0" applyFont="1" applyFill="1" applyAlignment="1">
      <alignment horizontal="center" vertical="center" wrapText="1"/>
    </xf>
    <xf numFmtId="0" fontId="86" fillId="0" borderId="0" xfId="0" applyFont="1"/>
    <xf numFmtId="0" fontId="129" fillId="0" borderId="0" xfId="0" applyFont="1"/>
    <xf numFmtId="0" fontId="130" fillId="0" borderId="0" xfId="0" applyFont="1"/>
    <xf numFmtId="0" fontId="15" fillId="0" borderId="0" xfId="0" applyFont="1" applyAlignment="1">
      <alignment wrapText="1"/>
    </xf>
    <xf numFmtId="0" fontId="131" fillId="8" borderId="0" xfId="0" applyFont="1" applyFill="1" applyAlignment="1">
      <alignment wrapText="1"/>
    </xf>
    <xf numFmtId="0" fontId="80" fillId="0" borderId="0" xfId="0" applyFont="1"/>
    <xf numFmtId="0" fontId="129" fillId="8" borderId="11" xfId="0" applyFont="1" applyFill="1" applyBorder="1" applyAlignment="1">
      <alignment wrapText="1"/>
    </xf>
    <xf numFmtId="0" fontId="129" fillId="2" borderId="12" xfId="0" applyFont="1" applyFill="1" applyBorder="1" applyAlignment="1">
      <alignment horizontal="center" vertical="center" wrapText="1"/>
    </xf>
    <xf numFmtId="0" fontId="129" fillId="2" borderId="1" xfId="0" applyFont="1" applyFill="1" applyBorder="1" applyAlignment="1">
      <alignment horizontal="center" vertical="center" wrapText="1"/>
    </xf>
    <xf numFmtId="0" fontId="129" fillId="0" borderId="1" xfId="0" applyFont="1" applyBorder="1"/>
    <xf numFmtId="0" fontId="11" fillId="0" borderId="1" xfId="0" applyFont="1" applyBorder="1"/>
    <xf numFmtId="0" fontId="129" fillId="8" borderId="1" xfId="0" applyFont="1" applyFill="1" applyBorder="1" applyAlignment="1">
      <alignment wrapText="1"/>
    </xf>
    <xf numFmtId="0" fontId="129" fillId="8" borderId="12" xfId="0" applyFont="1" applyFill="1" applyBorder="1" applyAlignment="1">
      <alignment wrapText="1"/>
    </xf>
    <xf numFmtId="0" fontId="13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75" fillId="2" borderId="0" xfId="0" applyFont="1" applyFill="1" applyAlignment="1">
      <alignment horizontal="center" vertical="center" wrapText="1"/>
    </xf>
    <xf numFmtId="0" fontId="75" fillId="3" borderId="0" xfId="0" applyFont="1" applyFill="1" applyAlignment="1">
      <alignment horizontal="center" vertical="center"/>
    </xf>
    <xf numFmtId="0" fontId="11" fillId="3" borderId="0" xfId="0" applyFont="1" applyFill="1"/>
    <xf numFmtId="0" fontId="88" fillId="0" borderId="0" xfId="0" applyFont="1" applyAlignment="1">
      <alignment horizontal="center" vertical="center"/>
    </xf>
    <xf numFmtId="0" fontId="133" fillId="0" borderId="0" xfId="0" applyFont="1"/>
    <xf numFmtId="0" fontId="108" fillId="0" borderId="0" xfId="0" applyFont="1"/>
    <xf numFmtId="0" fontId="132" fillId="0" borderId="0" xfId="0" applyFont="1" applyAlignment="1">
      <alignment vertical="center" wrapText="1"/>
    </xf>
    <xf numFmtId="0" fontId="108" fillId="11" borderId="0" xfId="0" applyFont="1" applyFill="1"/>
    <xf numFmtId="0" fontId="131" fillId="0" borderId="0" xfId="0" applyFont="1"/>
    <xf numFmtId="0" fontId="129" fillId="8" borderId="38" xfId="0" applyFont="1" applyFill="1" applyBorder="1" applyAlignment="1">
      <alignment wrapText="1"/>
    </xf>
    <xf numFmtId="0" fontId="129" fillId="8" borderId="36" xfId="0" applyFont="1" applyFill="1" applyBorder="1" applyAlignment="1">
      <alignment wrapText="1"/>
    </xf>
    <xf numFmtId="0" fontId="18" fillId="0" borderId="0" xfId="0" applyFont="1" applyAlignment="1">
      <alignment wrapText="1"/>
    </xf>
    <xf numFmtId="0" fontId="134" fillId="0" borderId="0" xfId="0" applyFont="1" applyAlignment="1">
      <alignment horizontal="center" vertical="center" wrapText="1"/>
    </xf>
    <xf numFmtId="0" fontId="134" fillId="0" borderId="0" xfId="0" applyFont="1" applyAlignment="1">
      <alignment horizontal="center" vertical="center"/>
    </xf>
    <xf numFmtId="0" fontId="127" fillId="6" borderId="0" xfId="0" applyFont="1" applyFill="1"/>
    <xf numFmtId="0" fontId="127" fillId="11" borderId="0" xfId="0" applyFont="1" applyFill="1"/>
    <xf numFmtId="0" fontId="127" fillId="2" borderId="0" xfId="0" applyFont="1" applyFill="1"/>
    <xf numFmtId="0" fontId="4" fillId="0" borderId="0" xfId="0" applyFont="1" applyAlignment="1">
      <alignment horizontal="left" vertical="center"/>
    </xf>
    <xf numFmtId="0" fontId="129" fillId="11" borderId="0" xfId="0" applyFont="1" applyFill="1"/>
    <xf numFmtId="0" fontId="108" fillId="2" borderId="0" xfId="0" applyFont="1" applyFill="1"/>
    <xf numFmtId="0" fontId="128" fillId="0" borderId="0" xfId="0" applyFont="1"/>
    <xf numFmtId="0" fontId="127" fillId="0" borderId="0" xfId="0" applyFont="1"/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vertical="center" wrapText="1"/>
    </xf>
    <xf numFmtId="0" fontId="3" fillId="0" borderId="0" xfId="0" applyFont="1" applyAlignment="1">
      <alignment horizontal="center"/>
    </xf>
    <xf numFmtId="0" fontId="83" fillId="0" borderId="0" xfId="0" applyFont="1" applyAlignment="1">
      <alignment horizontal="center" vertical="center"/>
    </xf>
    <xf numFmtId="0" fontId="83" fillId="0" borderId="0" xfId="0" applyFont="1" applyAlignment="1">
      <alignment horizontal="center"/>
    </xf>
    <xf numFmtId="0" fontId="110" fillId="8" borderId="1" xfId="0" applyFont="1" applyFill="1" applyBorder="1" applyAlignment="1">
      <alignment wrapText="1"/>
    </xf>
    <xf numFmtId="0" fontId="110" fillId="0" borderId="1" xfId="0" applyFont="1" applyBorder="1"/>
    <xf numFmtId="0" fontId="7" fillId="0" borderId="0" xfId="0" applyFont="1" applyAlignment="1">
      <alignment horizontal="center" vertical="center"/>
    </xf>
    <xf numFmtId="0" fontId="110" fillId="8" borderId="12" xfId="0" applyFont="1" applyFill="1" applyBorder="1" applyAlignment="1">
      <alignment wrapText="1"/>
    </xf>
    <xf numFmtId="0" fontId="3" fillId="6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90" fillId="8" borderId="1" xfId="0" applyFont="1" applyFill="1" applyBorder="1" applyAlignment="1">
      <alignment wrapText="1"/>
    </xf>
    <xf numFmtId="0" fontId="90" fillId="0" borderId="1" xfId="0" applyFont="1" applyBorder="1"/>
    <xf numFmtId="0" fontId="15" fillId="2" borderId="0" xfId="0" applyFont="1" applyFill="1" applyAlignment="1">
      <alignment horizontal="center"/>
    </xf>
    <xf numFmtId="0" fontId="90" fillId="8" borderId="12" xfId="0" applyFont="1" applyFill="1" applyBorder="1" applyAlignment="1">
      <alignment wrapText="1"/>
    </xf>
    <xf numFmtId="0" fontId="18" fillId="0" borderId="0" xfId="0" applyFont="1" applyAlignment="1">
      <alignment horizontal="center" wrapText="1"/>
    </xf>
    <xf numFmtId="0" fontId="3" fillId="3" borderId="0" xfId="0" applyFont="1" applyFill="1"/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wrapText="1"/>
    </xf>
    <xf numFmtId="0" fontId="4" fillId="3" borderId="0" xfId="0" applyFont="1" applyFill="1" applyAlignment="1" applyProtection="1">
      <alignment horizontal="center"/>
      <protection hidden="1"/>
    </xf>
    <xf numFmtId="0" fontId="4" fillId="3" borderId="0" xfId="0" applyFont="1" applyFill="1" applyProtection="1">
      <protection hidden="1"/>
    </xf>
    <xf numFmtId="0" fontId="3" fillId="3" borderId="0" xfId="0" applyFont="1" applyFill="1" applyAlignment="1" applyProtection="1">
      <alignment horizontal="left"/>
      <protection hidden="1"/>
    </xf>
    <xf numFmtId="0" fontId="90" fillId="3" borderId="0" xfId="0" applyFont="1" applyFill="1" applyAlignment="1" applyProtection="1">
      <alignment horizontal="left"/>
      <protection hidden="1"/>
    </xf>
    <xf numFmtId="0" fontId="18" fillId="11" borderId="0" xfId="0" applyFont="1" applyFill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83" fillId="0" borderId="0" xfId="0" applyNumberFormat="1" applyFont="1" applyAlignment="1">
      <alignment horizontal="center" vertical="center"/>
    </xf>
    <xf numFmtId="0" fontId="4" fillId="3" borderId="0" xfId="0" applyFont="1" applyFill="1" applyAlignment="1" applyProtection="1">
      <alignment wrapText="1"/>
      <protection hidden="1"/>
    </xf>
    <xf numFmtId="0" fontId="86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80" fillId="0" borderId="0" xfId="0" applyFont="1" applyAlignment="1">
      <alignment horizontal="center" vertical="top"/>
    </xf>
    <xf numFmtId="0" fontId="129" fillId="0" borderId="12" xfId="0" applyFont="1" applyBorder="1" applyAlignment="1">
      <alignment horizontal="center" vertical="top"/>
    </xf>
    <xf numFmtId="0" fontId="129" fillId="0" borderId="1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10" fillId="0" borderId="0" xfId="0" applyFont="1" applyAlignment="1">
      <alignment horizontal="center" vertical="top"/>
    </xf>
    <xf numFmtId="0" fontId="110" fillId="0" borderId="1" xfId="0" applyFont="1" applyBorder="1" applyAlignment="1">
      <alignment horizontal="center" vertical="top"/>
    </xf>
    <xf numFmtId="0" fontId="129" fillId="0" borderId="12" xfId="0" applyFont="1" applyBorder="1"/>
    <xf numFmtId="0" fontId="110" fillId="8" borderId="11" xfId="0" applyFont="1" applyFill="1" applyBorder="1" applyAlignment="1">
      <alignment wrapText="1"/>
    </xf>
    <xf numFmtId="0" fontId="110" fillId="8" borderId="0" xfId="0" applyFont="1" applyFill="1" applyAlignment="1">
      <alignment wrapText="1"/>
    </xf>
    <xf numFmtId="0" fontId="9" fillId="0" borderId="9" xfId="0" applyFont="1" applyBorder="1"/>
    <xf numFmtId="0" fontId="9" fillId="0" borderId="11" xfId="0" applyFont="1" applyBorder="1"/>
    <xf numFmtId="0" fontId="9" fillId="0" borderId="1" xfId="0" applyFont="1" applyBorder="1"/>
    <xf numFmtId="0" fontId="135" fillId="0" borderId="0" xfId="0" applyFont="1"/>
    <xf numFmtId="0" fontId="103" fillId="0" borderId="0" xfId="0" applyFont="1" applyAlignment="1">
      <alignment horizontal="justify" vertical="center" wrapText="1"/>
    </xf>
    <xf numFmtId="0" fontId="74" fillId="3" borderId="0" xfId="0" applyFont="1" applyFill="1" applyAlignment="1" applyProtection="1">
      <alignment horizontal="center"/>
      <protection hidden="1"/>
    </xf>
    <xf numFmtId="0" fontId="74" fillId="3" borderId="0" xfId="0" applyFont="1" applyFill="1" applyProtection="1">
      <protection hidden="1"/>
    </xf>
    <xf numFmtId="0" fontId="70" fillId="3" borderId="0" xfId="0" applyFont="1" applyFill="1" applyAlignment="1" applyProtection="1">
      <alignment horizontal="left"/>
      <protection hidden="1"/>
    </xf>
    <xf numFmtId="0" fontId="113" fillId="0" borderId="0" xfId="0" applyFont="1" applyAlignment="1">
      <alignment horizontal="left" vertical="center" wrapText="1"/>
    </xf>
    <xf numFmtId="0" fontId="38" fillId="0" borderId="6" xfId="0" applyFont="1" applyBorder="1" applyAlignment="1">
      <alignment horizontal="center"/>
    </xf>
    <xf numFmtId="0" fontId="38" fillId="0" borderId="9" xfId="0" applyFont="1" applyBorder="1" applyAlignment="1">
      <alignment horizontal="center"/>
    </xf>
    <xf numFmtId="0" fontId="38" fillId="0" borderId="10" xfId="0" applyFont="1" applyBorder="1" applyAlignment="1">
      <alignment horizontal="center"/>
    </xf>
    <xf numFmtId="0" fontId="38" fillId="0" borderId="2" xfId="0" applyFont="1" applyBorder="1" applyAlignment="1">
      <alignment horizontal="center"/>
    </xf>
    <xf numFmtId="0" fontId="138" fillId="0" borderId="8" xfId="0" applyFont="1" applyBorder="1" applyAlignment="1">
      <alignment vertical="top"/>
    </xf>
    <xf numFmtId="0" fontId="38" fillId="0" borderId="9" xfId="0" applyFont="1" applyBorder="1" applyAlignment="1">
      <alignment horizontal="center" vertical="top"/>
    </xf>
    <xf numFmtId="0" fontId="38" fillId="0" borderId="6" xfId="0" applyFont="1" applyBorder="1" applyAlignment="1">
      <alignment horizontal="center" vertical="top"/>
    </xf>
    <xf numFmtId="0" fontId="38" fillId="0" borderId="10" xfId="0" applyFont="1" applyBorder="1" applyAlignment="1">
      <alignment horizontal="center" vertical="top"/>
    </xf>
    <xf numFmtId="0" fontId="38" fillId="0" borderId="15" xfId="0" applyFont="1" applyBorder="1" applyAlignment="1">
      <alignment horizontal="center" vertical="top"/>
    </xf>
    <xf numFmtId="0" fontId="38" fillId="0" borderId="5" xfId="0" applyFont="1" applyBorder="1" applyAlignment="1">
      <alignment horizontal="center" vertical="top"/>
    </xf>
    <xf numFmtId="0" fontId="38" fillId="0" borderId="2" xfId="0" applyFont="1" applyBorder="1" applyAlignment="1">
      <alignment vertical="top"/>
    </xf>
    <xf numFmtId="49" fontId="38" fillId="0" borderId="2" xfId="0" applyNumberFormat="1" applyFont="1" applyBorder="1" applyAlignment="1">
      <alignment horizontal="center" vertical="top"/>
    </xf>
    <xf numFmtId="0" fontId="38" fillId="0" borderId="2" xfId="0" applyFont="1" applyBorder="1" applyAlignment="1">
      <alignment horizontal="center" vertical="top"/>
    </xf>
    <xf numFmtId="0" fontId="38" fillId="0" borderId="11" xfId="0" applyFont="1" applyBorder="1" applyAlignment="1">
      <alignment horizontal="center" vertical="top"/>
    </xf>
    <xf numFmtId="0" fontId="38" fillId="0" borderId="8" xfId="0" applyFont="1" applyBorder="1" applyAlignment="1">
      <alignment horizontal="center" vertical="top"/>
    </xf>
    <xf numFmtId="0" fontId="38" fillId="0" borderId="14" xfId="0" applyFont="1" applyBorder="1" applyAlignment="1">
      <alignment horizontal="center" vertical="top"/>
    </xf>
    <xf numFmtId="0" fontId="38" fillId="0" borderId="0" xfId="0" applyFont="1" applyAlignment="1">
      <alignment horizontal="center" vertical="top"/>
    </xf>
    <xf numFmtId="0" fontId="38" fillId="0" borderId="2" xfId="0" applyFont="1" applyBorder="1" applyAlignment="1">
      <alignment horizontal="left" vertical="top"/>
    </xf>
    <xf numFmtId="0" fontId="139" fillId="0" borderId="14" xfId="0" applyFont="1" applyBorder="1" applyAlignment="1">
      <alignment vertical="top"/>
    </xf>
    <xf numFmtId="0" fontId="139" fillId="0" borderId="0" xfId="0" applyFont="1" applyAlignment="1">
      <alignment vertical="top"/>
    </xf>
    <xf numFmtId="0" fontId="139" fillId="0" borderId="11" xfId="0" applyFont="1" applyBorder="1" applyAlignment="1">
      <alignment vertical="top"/>
    </xf>
    <xf numFmtId="0" fontId="139" fillId="0" borderId="8" xfId="0" applyFont="1" applyBorder="1" applyAlignment="1">
      <alignment vertical="top"/>
    </xf>
    <xf numFmtId="0" fontId="38" fillId="0" borderId="11" xfId="0" applyFont="1" applyBorder="1" applyAlignment="1">
      <alignment vertical="top"/>
    </xf>
    <xf numFmtId="0" fontId="38" fillId="0" borderId="8" xfId="0" applyFont="1" applyBorder="1" applyAlignment="1">
      <alignment vertical="top"/>
    </xf>
    <xf numFmtId="167" fontId="38" fillId="0" borderId="2" xfId="0" applyNumberFormat="1" applyFont="1" applyBorder="1" applyAlignment="1">
      <alignment horizontal="center" vertical="top"/>
    </xf>
    <xf numFmtId="0" fontId="38" fillId="0" borderId="9" xfId="0" applyFont="1" applyBorder="1" applyAlignment="1">
      <alignment vertical="top"/>
    </xf>
    <xf numFmtId="49" fontId="38" fillId="0" borderId="9" xfId="0" applyNumberFormat="1" applyFont="1" applyBorder="1" applyAlignment="1">
      <alignment horizontal="center" vertical="top"/>
    </xf>
    <xf numFmtId="0" fontId="139" fillId="0" borderId="12" xfId="0" applyFont="1" applyBorder="1" applyAlignment="1">
      <alignment vertical="top"/>
    </xf>
    <xf numFmtId="0" fontId="139" fillId="0" borderId="7" xfId="0" applyFont="1" applyBorder="1" applyAlignment="1">
      <alignment vertical="top"/>
    </xf>
    <xf numFmtId="0" fontId="139" fillId="0" borderId="13" xfId="0" applyFont="1" applyBorder="1" applyAlignment="1">
      <alignment vertical="top"/>
    </xf>
    <xf numFmtId="0" fontId="139" fillId="0" borderId="1" xfId="0" applyFont="1" applyBorder="1" applyAlignment="1">
      <alignment vertical="top"/>
    </xf>
    <xf numFmtId="0" fontId="39" fillId="0" borderId="9" xfId="0" applyFont="1" applyBorder="1" applyAlignment="1">
      <alignment horizontal="center" vertical="top"/>
    </xf>
    <xf numFmtId="0" fontId="39" fillId="0" borderId="6" xfId="0" applyFont="1" applyBorder="1" applyAlignment="1">
      <alignment horizontal="center" vertical="top"/>
    </xf>
    <xf numFmtId="0" fontId="39" fillId="0" borderId="11" xfId="0" applyFont="1" applyBorder="1" applyAlignment="1">
      <alignment horizontal="center" vertical="top"/>
    </xf>
    <xf numFmtId="0" fontId="39" fillId="0" borderId="8" xfId="0" applyFont="1" applyBorder="1" applyAlignment="1">
      <alignment horizontal="center" vertical="top"/>
    </xf>
    <xf numFmtId="0" fontId="39" fillId="0" borderId="14" xfId="0" applyFont="1" applyBorder="1" applyAlignment="1">
      <alignment horizontal="center" vertical="top"/>
    </xf>
    <xf numFmtId="0" fontId="138" fillId="0" borderId="14" xfId="0" applyFont="1" applyBorder="1" applyAlignment="1">
      <alignment vertical="top"/>
    </xf>
    <xf numFmtId="0" fontId="138" fillId="0" borderId="11" xfId="0" applyFont="1" applyBorder="1" applyAlignment="1">
      <alignment vertical="top"/>
    </xf>
    <xf numFmtId="0" fontId="39" fillId="0" borderId="11" xfId="0" applyFont="1" applyBorder="1" applyAlignment="1">
      <alignment vertical="top"/>
    </xf>
    <xf numFmtId="0" fontId="138" fillId="0" borderId="12" xfId="0" applyFont="1" applyBorder="1" applyAlignment="1">
      <alignment vertical="top"/>
    </xf>
    <xf numFmtId="0" fontId="138" fillId="0" borderId="7" xfId="0" applyFont="1" applyBorder="1" applyAlignment="1">
      <alignment vertical="top"/>
    </xf>
    <xf numFmtId="0" fontId="138" fillId="0" borderId="13" xfId="0" applyFont="1" applyBorder="1" applyAlignment="1">
      <alignment vertical="top"/>
    </xf>
    <xf numFmtId="0" fontId="138" fillId="0" borderId="1" xfId="0" applyFont="1" applyBorder="1" applyAlignment="1">
      <alignment vertical="top"/>
    </xf>
    <xf numFmtId="49" fontId="38" fillId="0" borderId="8" xfId="0" applyNumberFormat="1" applyFont="1" applyBorder="1" applyAlignment="1">
      <alignment horizontal="center" vertical="top"/>
    </xf>
    <xf numFmtId="168" fontId="38" fillId="0" borderId="6" xfId="0" applyNumberFormat="1" applyFont="1" applyBorder="1" applyAlignment="1">
      <alignment horizontal="center" vertical="top"/>
    </xf>
    <xf numFmtId="0" fontId="37" fillId="0" borderId="2" xfId="0" applyFont="1" applyBorder="1" applyAlignment="1">
      <alignment horizontal="left" vertical="top"/>
    </xf>
    <xf numFmtId="49" fontId="37" fillId="0" borderId="2" xfId="0" applyNumberFormat="1" applyFont="1" applyBorder="1" applyAlignment="1">
      <alignment horizontal="center" vertical="top"/>
    </xf>
    <xf numFmtId="0" fontId="37" fillId="0" borderId="15" xfId="0" applyFont="1" applyBorder="1" applyAlignment="1">
      <alignment horizontal="center" vertical="top"/>
    </xf>
    <xf numFmtId="0" fontId="37" fillId="0" borderId="10" xfId="0" applyFont="1" applyBorder="1" applyAlignment="1">
      <alignment horizontal="center" vertical="top"/>
    </xf>
    <xf numFmtId="0" fontId="37" fillId="0" borderId="9" xfId="0" applyFont="1" applyBorder="1" applyAlignment="1">
      <alignment horizontal="center" vertical="top"/>
    </xf>
    <xf numFmtId="0" fontId="37" fillId="0" borderId="6" xfId="0" applyFont="1" applyBorder="1" applyAlignment="1">
      <alignment horizontal="center" vertical="top"/>
    </xf>
    <xf numFmtId="168" fontId="37" fillId="0" borderId="6" xfId="0" applyNumberFormat="1" applyFont="1" applyBorder="1" applyAlignment="1">
      <alignment horizontal="center" vertical="top"/>
    </xf>
    <xf numFmtId="0" fontId="37" fillId="0" borderId="14" xfId="0" applyFont="1" applyBorder="1" applyAlignment="1">
      <alignment horizontal="center" vertical="top"/>
    </xf>
    <xf numFmtId="0" fontId="37" fillId="0" borderId="0" xfId="0" applyFont="1" applyAlignment="1">
      <alignment horizontal="center" vertical="top"/>
    </xf>
    <xf numFmtId="0" fontId="37" fillId="0" borderId="11" xfId="0" applyFont="1" applyBorder="1" applyAlignment="1">
      <alignment horizontal="center" vertical="top"/>
    </xf>
    <xf numFmtId="0" fontId="37" fillId="0" borderId="8" xfId="0" applyFont="1" applyBorder="1" applyAlignment="1">
      <alignment horizontal="center" vertical="top"/>
    </xf>
    <xf numFmtId="0" fontId="37" fillId="3" borderId="6" xfId="0" applyFont="1" applyFill="1" applyBorder="1" applyAlignment="1">
      <alignment horizontal="center" vertical="top"/>
    </xf>
    <xf numFmtId="0" fontId="37" fillId="3" borderId="10" xfId="0" applyFont="1" applyFill="1" applyBorder="1" applyAlignment="1">
      <alignment horizontal="center" vertical="top"/>
    </xf>
    <xf numFmtId="0" fontId="37" fillId="3" borderId="9" xfId="0" applyFont="1" applyFill="1" applyBorder="1" applyAlignment="1">
      <alignment horizontal="center" vertical="top"/>
    </xf>
    <xf numFmtId="0" fontId="37" fillId="3" borderId="2" xfId="0" applyFont="1" applyFill="1" applyBorder="1" applyAlignment="1">
      <alignment horizontal="center" vertical="top"/>
    </xf>
    <xf numFmtId="0" fontId="37" fillId="3" borderId="2" xfId="0" applyFont="1" applyFill="1" applyBorder="1" applyAlignment="1">
      <alignment vertical="top"/>
    </xf>
    <xf numFmtId="49" fontId="37" fillId="3" borderId="2" xfId="0" applyNumberFormat="1" applyFont="1" applyFill="1" applyBorder="1" applyAlignment="1">
      <alignment horizontal="center" vertical="top"/>
    </xf>
    <xf numFmtId="0" fontId="37" fillId="3" borderId="8" xfId="0" applyFont="1" applyFill="1" applyBorder="1" applyAlignment="1">
      <alignment horizontal="center" vertical="top"/>
    </xf>
    <xf numFmtId="0" fontId="37" fillId="3" borderId="14" xfId="0" applyFont="1" applyFill="1" applyBorder="1" applyAlignment="1">
      <alignment horizontal="center" vertical="top"/>
    </xf>
    <xf numFmtId="0" fontId="37" fillId="3" borderId="11" xfId="0" applyFont="1" applyFill="1" applyBorder="1" applyAlignment="1">
      <alignment horizontal="center" vertical="top"/>
    </xf>
    <xf numFmtId="0" fontId="37" fillId="3" borderId="7" xfId="0" applyFont="1" applyFill="1" applyBorder="1" applyAlignment="1">
      <alignment horizontal="center" vertical="top"/>
    </xf>
    <xf numFmtId="0" fontId="37" fillId="3" borderId="13" xfId="0" applyFont="1" applyFill="1" applyBorder="1" applyAlignment="1">
      <alignment horizontal="center" vertical="top"/>
    </xf>
    <xf numFmtId="0" fontId="37" fillId="3" borderId="12" xfId="0" applyFont="1" applyFill="1" applyBorder="1" applyAlignment="1">
      <alignment horizontal="center" vertical="top"/>
    </xf>
    <xf numFmtId="0" fontId="37" fillId="3" borderId="2" xfId="0" applyFont="1" applyFill="1" applyBorder="1" applyAlignment="1">
      <alignment horizontal="left" vertical="top"/>
    </xf>
    <xf numFmtId="168" fontId="37" fillId="3" borderId="6" xfId="0" applyNumberFormat="1" applyFont="1" applyFill="1" applyBorder="1" applyAlignment="1">
      <alignment horizontal="center" vertical="top"/>
    </xf>
    <xf numFmtId="0" fontId="37" fillId="0" borderId="5" xfId="0" applyFont="1" applyBorder="1" applyAlignment="1">
      <alignment horizontal="center" vertical="top"/>
    </xf>
    <xf numFmtId="0" fontId="37" fillId="0" borderId="2" xfId="0" applyFont="1" applyBorder="1" applyAlignment="1">
      <alignment vertical="top"/>
    </xf>
    <xf numFmtId="0" fontId="37" fillId="0" borderId="2" xfId="0" applyFont="1" applyBorder="1" applyAlignment="1">
      <alignment horizontal="center" vertical="top"/>
    </xf>
    <xf numFmtId="167" fontId="37" fillId="0" borderId="2" xfId="0" applyNumberFormat="1" applyFont="1" applyBorder="1" applyAlignment="1">
      <alignment horizontal="center" vertical="top"/>
    </xf>
    <xf numFmtId="0" fontId="39" fillId="0" borderId="0" xfId="0" applyFont="1" applyAlignment="1">
      <alignment horizontal="center" vertical="top"/>
    </xf>
    <xf numFmtId="0" fontId="138" fillId="0" borderId="0" xfId="0" applyFont="1" applyAlignment="1">
      <alignment vertical="top"/>
    </xf>
    <xf numFmtId="0" fontId="39" fillId="0" borderId="12" xfId="0" applyFont="1" applyBorder="1" applyAlignment="1">
      <alignment vertical="top"/>
    </xf>
    <xf numFmtId="0" fontId="39" fillId="0" borderId="7" xfId="0" applyFont="1" applyBorder="1" applyAlignment="1">
      <alignment vertical="top"/>
    </xf>
    <xf numFmtId="0" fontId="37" fillId="0" borderId="11" xfId="0" applyFont="1" applyBorder="1" applyAlignment="1">
      <alignment vertical="top"/>
    </xf>
    <xf numFmtId="0" fontId="136" fillId="0" borderId="8" xfId="0" applyFont="1" applyBorder="1" applyAlignment="1">
      <alignment vertical="top"/>
    </xf>
    <xf numFmtId="0" fontId="37" fillId="0" borderId="12" xfId="0" applyFont="1" applyBorder="1" applyAlignment="1">
      <alignment vertical="top"/>
    </xf>
    <xf numFmtId="0" fontId="37" fillId="0" borderId="12" xfId="0" applyFont="1" applyBorder="1" applyAlignment="1">
      <alignment horizontal="center" vertical="top"/>
    </xf>
    <xf numFmtId="0" fontId="37" fillId="0" borderId="7" xfId="0" applyFont="1" applyBorder="1" applyAlignment="1">
      <alignment horizontal="center" vertical="top"/>
    </xf>
    <xf numFmtId="0" fontId="136" fillId="0" borderId="7" xfId="0" applyFont="1" applyBorder="1" applyAlignment="1">
      <alignment vertical="top"/>
    </xf>
    <xf numFmtId="0" fontId="39" fillId="0" borderId="12" xfId="0" applyFont="1" applyBorder="1" applyAlignment="1">
      <alignment horizontal="center" vertical="top"/>
    </xf>
    <xf numFmtId="0" fontId="136" fillId="0" borderId="2" xfId="0" applyFont="1" applyBorder="1" applyAlignment="1">
      <alignment vertical="top"/>
    </xf>
    <xf numFmtId="0" fontId="136" fillId="0" borderId="14" xfId="0" applyFont="1" applyBorder="1" applyAlignment="1">
      <alignment vertical="top"/>
    </xf>
    <xf numFmtId="0" fontId="136" fillId="0" borderId="0" xfId="0" applyFont="1" applyAlignment="1">
      <alignment vertical="top"/>
    </xf>
    <xf numFmtId="0" fontId="136" fillId="0" borderId="11" xfId="0" applyFont="1" applyBorder="1" applyAlignment="1">
      <alignment vertical="top"/>
    </xf>
    <xf numFmtId="0" fontId="37" fillId="0" borderId="7" xfId="0" applyFont="1" applyBorder="1" applyAlignment="1">
      <alignment vertical="top"/>
    </xf>
    <xf numFmtId="0" fontId="136" fillId="0" borderId="13" xfId="0" applyFont="1" applyBorder="1" applyAlignment="1">
      <alignment vertical="top"/>
    </xf>
    <xf numFmtId="0" fontId="136" fillId="0" borderId="1" xfId="0" applyFont="1" applyBorder="1" applyAlignment="1">
      <alignment vertical="top"/>
    </xf>
    <xf numFmtId="0" fontId="136" fillId="0" borderId="12" xfId="0" applyFont="1" applyBorder="1" applyAlignment="1">
      <alignment vertical="top"/>
    </xf>
    <xf numFmtId="0" fontId="140" fillId="0" borderId="2" xfId="0" applyFont="1" applyBorder="1" applyAlignment="1">
      <alignment vertical="center"/>
    </xf>
    <xf numFmtId="49" fontId="140" fillId="0" borderId="2" xfId="0" applyNumberFormat="1" applyFont="1" applyBorder="1" applyAlignment="1">
      <alignment horizontal="center" vertical="center"/>
    </xf>
    <xf numFmtId="49" fontId="39" fillId="0" borderId="2" xfId="0" applyNumberFormat="1" applyFont="1" applyBorder="1" applyAlignment="1">
      <alignment horizontal="center" vertical="center"/>
    </xf>
    <xf numFmtId="49" fontId="39" fillId="0" borderId="9" xfId="0" applyNumberFormat="1" applyFont="1" applyBorder="1" applyAlignment="1">
      <alignment horizontal="center" vertical="center"/>
    </xf>
    <xf numFmtId="0" fontId="140" fillId="0" borderId="2" xfId="0" applyFont="1" applyBorder="1" applyAlignment="1">
      <alignment horizontal="center" vertical="center"/>
    </xf>
    <xf numFmtId="49" fontId="40" fillId="0" borderId="2" xfId="0" applyNumberFormat="1" applyFont="1" applyBorder="1" applyAlignment="1">
      <alignment horizontal="center" vertical="center"/>
    </xf>
    <xf numFmtId="0" fontId="140" fillId="0" borderId="2" xfId="0" applyFont="1" applyBorder="1" applyAlignment="1">
      <alignment horizontal="left" vertical="center"/>
    </xf>
    <xf numFmtId="167" fontId="140" fillId="0" borderId="2" xfId="0" applyNumberFormat="1" applyFont="1" applyBorder="1" applyAlignment="1">
      <alignment horizontal="center" vertical="center"/>
    </xf>
    <xf numFmtId="0" fontId="140" fillId="0" borderId="9" xfId="0" applyFont="1" applyBorder="1" applyAlignment="1">
      <alignment vertical="center"/>
    </xf>
    <xf numFmtId="49" fontId="140" fillId="0" borderId="9" xfId="0" applyNumberFormat="1" applyFont="1" applyBorder="1" applyAlignment="1">
      <alignment horizontal="center" vertical="center"/>
    </xf>
    <xf numFmtId="0" fontId="140" fillId="3" borderId="2" xfId="0" applyFont="1" applyFill="1" applyBorder="1" applyAlignment="1">
      <alignment horizontal="left" vertical="center"/>
    </xf>
    <xf numFmtId="49" fontId="140" fillId="3" borderId="2" xfId="0" applyNumberFormat="1" applyFont="1" applyFill="1" applyBorder="1" applyAlignment="1">
      <alignment horizontal="center" vertical="center"/>
    </xf>
    <xf numFmtId="49" fontId="57" fillId="3" borderId="6" xfId="0" applyNumberFormat="1" applyFont="1" applyFill="1" applyBorder="1" applyAlignment="1">
      <alignment horizontal="center" vertical="center"/>
    </xf>
    <xf numFmtId="0" fontId="57" fillId="3" borderId="40" xfId="0" applyFont="1" applyFill="1" applyBorder="1" applyAlignment="1">
      <alignment horizontal="center"/>
    </xf>
    <xf numFmtId="0" fontId="27" fillId="3" borderId="41" xfId="0" applyFont="1" applyFill="1" applyBorder="1" applyAlignment="1">
      <alignment horizontal="center" vertical="center"/>
    </xf>
    <xf numFmtId="0" fontId="57" fillId="3" borderId="42" xfId="0" applyFont="1" applyFill="1" applyBorder="1" applyAlignment="1">
      <alignment horizontal="center"/>
    </xf>
    <xf numFmtId="0" fontId="57" fillId="3" borderId="43" xfId="0" applyFont="1" applyFill="1" applyBorder="1" applyAlignment="1">
      <alignment horizontal="center"/>
    </xf>
    <xf numFmtId="0" fontId="57" fillId="3" borderId="44" xfId="0" applyFont="1" applyFill="1" applyBorder="1" applyAlignment="1">
      <alignment horizontal="center"/>
    </xf>
    <xf numFmtId="0" fontId="57" fillId="3" borderId="43" xfId="0" applyFont="1" applyFill="1" applyBorder="1" applyAlignment="1">
      <alignment horizontal="center" vertical="center" wrapText="1"/>
    </xf>
    <xf numFmtId="0" fontId="57" fillId="3" borderId="44" xfId="0" applyFont="1" applyFill="1" applyBorder="1" applyAlignment="1">
      <alignment horizontal="center" vertical="center" wrapText="1"/>
    </xf>
    <xf numFmtId="0" fontId="57" fillId="3" borderId="44" xfId="0" applyFont="1" applyFill="1" applyBorder="1" applyAlignment="1">
      <alignment horizontal="center" vertical="center"/>
    </xf>
    <xf numFmtId="0" fontId="57" fillId="3" borderId="42" xfId="0" applyFont="1" applyFill="1" applyBorder="1" applyAlignment="1">
      <alignment horizontal="center" vertical="center"/>
    </xf>
    <xf numFmtId="0" fontId="57" fillId="3" borderId="40" xfId="0" applyFont="1" applyFill="1" applyBorder="1" applyAlignment="1">
      <alignment horizontal="center" vertical="center" wrapText="1"/>
    </xf>
    <xf numFmtId="0" fontId="57" fillId="3" borderId="43" xfId="0" applyFont="1" applyFill="1" applyBorder="1" applyAlignment="1">
      <alignment horizontal="center" vertical="center"/>
    </xf>
    <xf numFmtId="0" fontId="57" fillId="3" borderId="5" xfId="0" applyFont="1" applyFill="1" applyBorder="1" applyAlignment="1">
      <alignment horizontal="center" vertical="center"/>
    </xf>
    <xf numFmtId="0" fontId="57" fillId="3" borderId="40" xfId="0" applyFont="1" applyFill="1" applyBorder="1" applyAlignment="1">
      <alignment horizontal="center" vertical="center"/>
    </xf>
    <xf numFmtId="0" fontId="57" fillId="3" borderId="42" xfId="0" applyFont="1" applyFill="1" applyBorder="1" applyAlignment="1">
      <alignment horizontal="center" vertical="center" wrapText="1"/>
    </xf>
    <xf numFmtId="0" fontId="57" fillId="3" borderId="4" xfId="0" applyFont="1" applyFill="1" applyBorder="1" applyAlignment="1">
      <alignment horizontal="center" vertical="center" wrapText="1"/>
    </xf>
    <xf numFmtId="0" fontId="57" fillId="3" borderId="45" xfId="0" applyFont="1" applyFill="1" applyBorder="1" applyAlignment="1">
      <alignment horizontal="center"/>
    </xf>
    <xf numFmtId="0" fontId="57" fillId="3" borderId="46" xfId="0" applyFont="1" applyFill="1" applyBorder="1" applyAlignment="1">
      <alignment horizontal="center"/>
    </xf>
    <xf numFmtId="49" fontId="101" fillId="3" borderId="6" xfId="0" applyNumberFormat="1" applyFont="1" applyFill="1" applyBorder="1" applyAlignment="1">
      <alignment horizontal="center" vertical="center"/>
    </xf>
    <xf numFmtId="0" fontId="101" fillId="3" borderId="6" xfId="0" applyFont="1" applyFill="1" applyBorder="1" applyAlignment="1">
      <alignment horizontal="left"/>
    </xf>
    <xf numFmtId="0" fontId="101" fillId="3" borderId="6" xfId="0" applyFont="1" applyFill="1" applyBorder="1" applyAlignment="1">
      <alignment horizontal="center"/>
    </xf>
    <xf numFmtId="0" fontId="101" fillId="3" borderId="24" xfId="0" applyFont="1" applyFill="1" applyBorder="1" applyAlignment="1">
      <alignment horizontal="center"/>
    </xf>
    <xf numFmtId="0" fontId="101" fillId="3" borderId="28" xfId="0" applyFont="1" applyFill="1" applyBorder="1" applyAlignment="1">
      <alignment horizontal="center"/>
    </xf>
    <xf numFmtId="0" fontId="101" fillId="3" borderId="9" xfId="0" applyFont="1" applyFill="1" applyBorder="1" applyAlignment="1">
      <alignment horizontal="center"/>
    </xf>
    <xf numFmtId="0" fontId="101" fillId="3" borderId="22" xfId="0" applyFont="1" applyFill="1" applyBorder="1" applyAlignment="1">
      <alignment horizontal="center"/>
    </xf>
    <xf numFmtId="0" fontId="101" fillId="3" borderId="10" xfId="0" applyFont="1" applyFill="1" applyBorder="1" applyAlignment="1">
      <alignment horizontal="center"/>
    </xf>
    <xf numFmtId="0" fontId="101" fillId="3" borderId="23" xfId="0" applyFont="1" applyFill="1" applyBorder="1" applyAlignment="1">
      <alignment horizontal="center"/>
    </xf>
    <xf numFmtId="0" fontId="101" fillId="3" borderId="8" xfId="0" applyFont="1" applyFill="1" applyBorder="1" applyAlignment="1">
      <alignment horizontal="center" vertical="center"/>
    </xf>
    <xf numFmtId="0" fontId="101" fillId="3" borderId="8" xfId="0" applyFont="1" applyFill="1" applyBorder="1" applyAlignment="1">
      <alignment horizontal="left"/>
    </xf>
    <xf numFmtId="0" fontId="101" fillId="3" borderId="25" xfId="0" applyFont="1" applyFill="1" applyBorder="1" applyAlignment="1">
      <alignment horizontal="center"/>
    </xf>
    <xf numFmtId="0" fontId="101" fillId="3" borderId="29" xfId="0" applyFont="1" applyFill="1" applyBorder="1" applyAlignment="1">
      <alignment horizontal="center"/>
    </xf>
    <xf numFmtId="0" fontId="101" fillId="3" borderId="40" xfId="0" applyFont="1" applyFill="1" applyBorder="1" applyAlignment="1">
      <alignment horizontal="center"/>
    </xf>
    <xf numFmtId="0" fontId="101" fillId="3" borderId="7" xfId="0" applyFont="1" applyFill="1" applyBorder="1" applyAlignment="1">
      <alignment horizontal="center" vertical="center"/>
    </xf>
    <xf numFmtId="0" fontId="101" fillId="3" borderId="7" xfId="0" applyFont="1" applyFill="1" applyBorder="1" applyAlignment="1">
      <alignment horizontal="left"/>
    </xf>
    <xf numFmtId="0" fontId="101" fillId="3" borderId="27" xfId="0" applyFont="1" applyFill="1" applyBorder="1" applyAlignment="1">
      <alignment horizontal="center"/>
    </xf>
    <xf numFmtId="0" fontId="101" fillId="3" borderId="30" xfId="0" applyFont="1" applyFill="1" applyBorder="1" applyAlignment="1">
      <alignment horizontal="center"/>
    </xf>
    <xf numFmtId="0" fontId="101" fillId="3" borderId="26" xfId="0" applyFont="1" applyFill="1" applyBorder="1" applyAlignment="1">
      <alignment horizontal="center"/>
    </xf>
    <xf numFmtId="0" fontId="101" fillId="3" borderId="44" xfId="0" applyFont="1" applyFill="1" applyBorder="1" applyAlignment="1">
      <alignment horizontal="center"/>
    </xf>
    <xf numFmtId="0" fontId="101" fillId="3" borderId="2" xfId="0" applyFont="1" applyFill="1" applyBorder="1" applyAlignment="1">
      <alignment vertical="center"/>
    </xf>
    <xf numFmtId="49" fontId="101" fillId="3" borderId="2" xfId="0" applyNumberFormat="1" applyFont="1" applyFill="1" applyBorder="1" applyAlignment="1">
      <alignment horizontal="center" vertical="center"/>
    </xf>
    <xf numFmtId="0" fontId="101" fillId="3" borderId="2" xfId="0" applyFont="1" applyFill="1" applyBorder="1" applyAlignment="1">
      <alignment horizontal="center"/>
    </xf>
    <xf numFmtId="0" fontId="101" fillId="3" borderId="2" xfId="0" applyFont="1" applyFill="1" applyBorder="1" applyProtection="1">
      <protection hidden="1"/>
    </xf>
    <xf numFmtId="49" fontId="101" fillId="3" borderId="2" xfId="0" applyNumberFormat="1" applyFont="1" applyFill="1" applyBorder="1" applyAlignment="1" applyProtection="1">
      <alignment horizontal="center"/>
      <protection hidden="1"/>
    </xf>
    <xf numFmtId="0" fontId="101" fillId="3" borderId="2" xfId="0" applyFont="1" applyFill="1" applyBorder="1" applyAlignment="1">
      <alignment horizontal="left" vertical="center" wrapText="1"/>
    </xf>
    <xf numFmtId="49" fontId="101" fillId="3" borderId="2" xfId="0" applyNumberFormat="1" applyFont="1" applyFill="1" applyBorder="1" applyAlignment="1">
      <alignment horizontal="center" vertical="center" wrapText="1"/>
    </xf>
    <xf numFmtId="0" fontId="101" fillId="3" borderId="2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center"/>
    </xf>
    <xf numFmtId="0" fontId="70" fillId="0" borderId="0" xfId="0" applyFont="1" applyAlignment="1">
      <alignment horizontal="center" vertical="center" wrapText="1"/>
    </xf>
    <xf numFmtId="0" fontId="123" fillId="0" borderId="0" xfId="0" applyFont="1" applyAlignment="1">
      <alignment horizontal="center"/>
    </xf>
    <xf numFmtId="0" fontId="57" fillId="0" borderId="0" xfId="0" applyFont="1" applyAlignment="1">
      <alignment horizontal="left" vertical="center" wrapText="1"/>
    </xf>
    <xf numFmtId="0" fontId="119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0" fillId="0" borderId="0" xfId="0" applyAlignment="1">
      <alignment horizontal="left"/>
    </xf>
    <xf numFmtId="0" fontId="6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  <xf numFmtId="0" fontId="112" fillId="0" borderId="0" xfId="0" applyFont="1" applyAlignment="1">
      <alignment horizontal="center"/>
    </xf>
    <xf numFmtId="0" fontId="114" fillId="0" borderId="0" xfId="0" applyFont="1" applyAlignment="1">
      <alignment horizontal="center"/>
    </xf>
    <xf numFmtId="0" fontId="116" fillId="0" borderId="0" xfId="0" applyFont="1" applyAlignment="1">
      <alignment horizontal="center" wrapText="1"/>
    </xf>
    <xf numFmtId="0" fontId="118" fillId="0" borderId="0" xfId="0" applyFont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50" fillId="0" borderId="0" xfId="0" applyFont="1" applyAlignment="1">
      <alignment horizontal="left" vertical="center" wrapText="1"/>
    </xf>
    <xf numFmtId="0" fontId="50" fillId="0" borderId="0" xfId="0" applyFont="1" applyAlignment="1">
      <alignment horizontal="center" vertical="center" wrapText="1"/>
    </xf>
    <xf numFmtId="0" fontId="47" fillId="0" borderId="0" xfId="0" applyFont="1" applyAlignment="1">
      <alignment horizontal="left" vertical="center" wrapText="1"/>
    </xf>
    <xf numFmtId="0" fontId="50" fillId="0" borderId="0" xfId="0" applyFont="1" applyAlignment="1">
      <alignment vertical="top" wrapText="1"/>
    </xf>
    <xf numFmtId="0" fontId="54" fillId="0" borderId="0" xfId="0" applyFont="1" applyAlignment="1">
      <alignment horizontal="left" vertical="center" wrapText="1"/>
    </xf>
    <xf numFmtId="0" fontId="51" fillId="0" borderId="0" xfId="0" applyFont="1" applyAlignment="1">
      <alignment horizontal="left" vertical="center" wrapText="1"/>
    </xf>
    <xf numFmtId="0" fontId="57" fillId="0" borderId="0" xfId="0" applyFont="1" applyAlignment="1">
      <alignment horizontal="left"/>
    </xf>
    <xf numFmtId="0" fontId="57" fillId="0" borderId="0" xfId="0" applyFont="1" applyAlignment="1">
      <alignment horizontal="left" wrapText="1"/>
    </xf>
    <xf numFmtId="0" fontId="57" fillId="0" borderId="0" xfId="0" applyFont="1" applyAlignment="1">
      <alignment horizontal="left" vertical="center"/>
    </xf>
    <xf numFmtId="0" fontId="57" fillId="0" borderId="0" xfId="0" applyFont="1" applyAlignment="1">
      <alignment horizontal="left" vertical="top" wrapText="1"/>
    </xf>
    <xf numFmtId="0" fontId="57" fillId="0" borderId="0" xfId="0" applyFont="1" applyAlignment="1">
      <alignment horizontal="center"/>
    </xf>
    <xf numFmtId="0" fontId="57" fillId="0" borderId="0" xfId="0" applyFont="1"/>
    <xf numFmtId="0" fontId="27" fillId="2" borderId="3" xfId="0" applyFont="1" applyFill="1" applyBorder="1" applyAlignment="1">
      <alignment horizontal="center" vertical="center" wrapText="1"/>
    </xf>
    <xf numFmtId="0" fontId="87" fillId="2" borderId="4" xfId="0" applyFont="1" applyFill="1" applyBorder="1" applyAlignment="1">
      <alignment horizontal="center" vertical="center" wrapText="1"/>
    </xf>
    <xf numFmtId="0" fontId="87" fillId="2" borderId="5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76" fillId="2" borderId="4" xfId="0" applyFont="1" applyFill="1" applyBorder="1" applyAlignment="1">
      <alignment horizontal="center" vertical="center" wrapText="1"/>
    </xf>
    <xf numFmtId="0" fontId="76" fillId="2" borderId="5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18" fillId="0" borderId="5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49" fontId="3" fillId="0" borderId="6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104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27" fillId="2" borderId="12" xfId="0" applyFont="1" applyFill="1" applyBorder="1" applyAlignment="1">
      <alignment horizontal="center" vertical="center" wrapText="1"/>
    </xf>
    <xf numFmtId="0" fontId="87" fillId="2" borderId="1" xfId="0" applyFont="1" applyFill="1" applyBorder="1" applyAlignment="1">
      <alignment horizontal="center" vertical="center" wrapText="1"/>
    </xf>
    <xf numFmtId="0" fontId="87" fillId="2" borderId="13" xfId="0" applyFont="1" applyFill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31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27" fillId="11" borderId="12" xfId="0" applyFont="1" applyFill="1" applyBorder="1" applyAlignment="1">
      <alignment horizontal="center" vertical="center" wrapText="1"/>
    </xf>
    <xf numFmtId="0" fontId="87" fillId="11" borderId="1" xfId="0" applyFont="1" applyFill="1" applyBorder="1" applyAlignment="1">
      <alignment horizontal="center" vertical="center" wrapText="1"/>
    </xf>
    <xf numFmtId="0" fontId="87" fillId="11" borderId="13" xfId="0" applyFont="1" applyFill="1" applyBorder="1" applyAlignment="1">
      <alignment horizontal="center" vertical="center" wrapText="1"/>
    </xf>
    <xf numFmtId="0" fontId="57" fillId="0" borderId="1" xfId="0" applyFont="1" applyBorder="1" applyAlignment="1">
      <alignment horizontal="left"/>
    </xf>
    <xf numFmtId="0" fontId="27" fillId="11" borderId="3" xfId="0" applyFont="1" applyFill="1" applyBorder="1" applyAlignment="1">
      <alignment horizontal="center" vertical="center" wrapText="1"/>
    </xf>
    <xf numFmtId="0" fontId="87" fillId="11" borderId="4" xfId="0" applyFont="1" applyFill="1" applyBorder="1" applyAlignment="1">
      <alignment horizontal="center" vertical="center" wrapText="1"/>
    </xf>
    <xf numFmtId="0" fontId="87" fillId="11" borderId="5" xfId="0" applyFont="1" applyFill="1" applyBorder="1" applyAlignment="1">
      <alignment horizontal="center" vertical="center" wrapText="1"/>
    </xf>
    <xf numFmtId="49" fontId="15" fillId="3" borderId="6" xfId="0" applyNumberFormat="1" applyFont="1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16" fillId="6" borderId="3" xfId="0" applyFont="1" applyFill="1" applyBorder="1" applyAlignment="1">
      <alignment horizontal="center" vertical="center" wrapText="1"/>
    </xf>
    <xf numFmtId="0" fontId="76" fillId="6" borderId="4" xfId="0" applyFont="1" applyFill="1" applyBorder="1" applyAlignment="1">
      <alignment horizontal="center" vertical="center" wrapText="1"/>
    </xf>
    <xf numFmtId="0" fontId="76" fillId="6" borderId="5" xfId="0" applyFont="1" applyFill="1" applyBorder="1" applyAlignment="1">
      <alignment horizontal="center" vertical="center" wrapText="1"/>
    </xf>
    <xf numFmtId="0" fontId="16" fillId="11" borderId="12" xfId="0" applyFont="1" applyFill="1" applyBorder="1" applyAlignment="1">
      <alignment horizontal="center" vertical="center" wrapText="1"/>
    </xf>
    <xf numFmtId="0" fontId="76" fillId="11" borderId="1" xfId="0" applyFont="1" applyFill="1" applyBorder="1" applyAlignment="1">
      <alignment horizontal="center" vertical="center" wrapText="1"/>
    </xf>
    <xf numFmtId="0" fontId="76" fillId="11" borderId="13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0" fontId="6" fillId="0" borderId="7" xfId="0" applyFont="1" applyBorder="1"/>
    <xf numFmtId="0" fontId="10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33" fillId="0" borderId="4" xfId="0" applyFont="1" applyBorder="1" applyAlignment="1">
      <alignment horizontal="right" vertical="center"/>
    </xf>
    <xf numFmtId="0" fontId="33" fillId="0" borderId="5" xfId="0" applyFont="1" applyBorder="1" applyAlignment="1">
      <alignment horizontal="right" vertical="center"/>
    </xf>
    <xf numFmtId="0" fontId="3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15" fillId="0" borderId="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0" borderId="8" xfId="0" applyBorder="1"/>
    <xf numFmtId="49" fontId="15" fillId="3" borderId="6" xfId="0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31" fillId="3" borderId="6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right" vertical="center"/>
    </xf>
    <xf numFmtId="0" fontId="33" fillId="3" borderId="4" xfId="0" applyFont="1" applyFill="1" applyBorder="1" applyAlignment="1">
      <alignment horizontal="right" vertical="center"/>
    </xf>
    <xf numFmtId="0" fontId="33" fillId="3" borderId="5" xfId="0" applyFont="1" applyFill="1" applyBorder="1" applyAlignment="1">
      <alignment horizontal="righ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2" borderId="4" xfId="0" applyFont="1" applyFill="1" applyBorder="1"/>
    <xf numFmtId="0" fontId="15" fillId="2" borderId="5" xfId="0" applyFont="1" applyFill="1" applyBorder="1"/>
    <xf numFmtId="0" fontId="15" fillId="0" borderId="7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" fillId="2" borderId="13" xfId="0" applyFont="1" applyFill="1" applyBorder="1"/>
    <xf numFmtId="0" fontId="1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7" fillId="6" borderId="3" xfId="0" applyFont="1" applyFill="1" applyBorder="1" applyAlignment="1">
      <alignment horizontal="center" vertical="center" wrapText="1"/>
    </xf>
    <xf numFmtId="0" fontId="57" fillId="6" borderId="4" xfId="0" applyFont="1" applyFill="1" applyBorder="1"/>
    <xf numFmtId="0" fontId="57" fillId="6" borderId="5" xfId="0" applyFont="1" applyFill="1" applyBorder="1"/>
    <xf numFmtId="0" fontId="27" fillId="10" borderId="3" xfId="0" applyFont="1" applyFill="1" applyBorder="1" applyAlignment="1">
      <alignment horizontal="center" vertical="center" wrapText="1"/>
    </xf>
    <xf numFmtId="0" fontId="57" fillId="10" borderId="4" xfId="0" applyFont="1" applyFill="1" applyBorder="1"/>
    <xf numFmtId="0" fontId="57" fillId="10" borderId="5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0" fillId="0" borderId="2" xfId="0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29" fillId="12" borderId="12" xfId="0" applyFont="1" applyFill="1" applyBorder="1" applyAlignment="1">
      <alignment horizontal="center" vertical="center" wrapText="1"/>
    </xf>
    <xf numFmtId="0" fontId="28" fillId="12" borderId="1" xfId="0" applyFont="1" applyFill="1" applyBorder="1"/>
    <xf numFmtId="0" fontId="28" fillId="12" borderId="13" xfId="0" applyFont="1" applyFill="1" applyBorder="1"/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7" fillId="12" borderId="12" xfId="0" applyFont="1" applyFill="1" applyBorder="1" applyAlignment="1">
      <alignment horizontal="center" vertical="center" wrapText="1"/>
    </xf>
    <xf numFmtId="0" fontId="57" fillId="12" borderId="1" xfId="0" applyFont="1" applyFill="1" applyBorder="1"/>
    <xf numFmtId="0" fontId="57" fillId="12" borderId="13" xfId="0" applyFont="1" applyFill="1" applyBorder="1"/>
    <xf numFmtId="0" fontId="18" fillId="3" borderId="4" xfId="0" applyFont="1" applyFill="1" applyBorder="1" applyAlignment="1">
      <alignment horizontal="right" vertical="center"/>
    </xf>
    <xf numFmtId="0" fontId="18" fillId="3" borderId="5" xfId="0" applyFont="1" applyFill="1" applyBorder="1" applyAlignment="1">
      <alignment horizontal="right" vertical="center"/>
    </xf>
    <xf numFmtId="0" fontId="25" fillId="0" borderId="15" xfId="0" applyFont="1" applyBorder="1" applyAlignment="1">
      <alignment vertical="top" wrapText="1"/>
    </xf>
    <xf numFmtId="0" fontId="0" fillId="0" borderId="15" xfId="0" applyBorder="1"/>
    <xf numFmtId="0" fontId="27" fillId="2" borderId="1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right"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49" fontId="18" fillId="3" borderId="3" xfId="0" applyNumberFormat="1" applyFont="1" applyFill="1" applyBorder="1" applyAlignment="1">
      <alignment horizontal="right" vertical="center"/>
    </xf>
    <xf numFmtId="49" fontId="4" fillId="0" borderId="3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9" fillId="2" borderId="4" xfId="0" applyFont="1" applyFill="1" applyBorder="1"/>
    <xf numFmtId="0" fontId="9" fillId="2" borderId="5" xfId="0" applyFont="1" applyFill="1" applyBorder="1"/>
    <xf numFmtId="0" fontId="45" fillId="6" borderId="4" xfId="0" applyFont="1" applyFill="1" applyBorder="1"/>
    <xf numFmtId="0" fontId="45" fillId="6" borderId="5" xfId="0" applyFont="1" applyFill="1" applyBorder="1"/>
    <xf numFmtId="0" fontId="29" fillId="11" borderId="3" xfId="0" applyFont="1" applyFill="1" applyBorder="1" applyAlignment="1">
      <alignment horizontal="center" vertical="center" wrapText="1"/>
    </xf>
    <xf numFmtId="0" fontId="59" fillId="11" borderId="1" xfId="0" applyFont="1" applyFill="1" applyBorder="1"/>
    <xf numFmtId="0" fontId="59" fillId="11" borderId="13" xfId="0" applyFont="1" applyFill="1" applyBorder="1"/>
    <xf numFmtId="0" fontId="10" fillId="2" borderId="4" xfId="0" applyFont="1" applyFill="1" applyBorder="1"/>
    <xf numFmtId="0" fontId="10" fillId="2" borderId="5" xfId="0" applyFont="1" applyFill="1" applyBorder="1"/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 wrapText="1"/>
    </xf>
    <xf numFmtId="0" fontId="59" fillId="11" borderId="4" xfId="0" applyFont="1" applyFill="1" applyBorder="1"/>
    <xf numFmtId="0" fontId="59" fillId="11" borderId="5" xfId="0" applyFont="1" applyFill="1" applyBorder="1"/>
    <xf numFmtId="0" fontId="15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5" fillId="11" borderId="1" xfId="0" applyFont="1" applyFill="1" applyBorder="1"/>
    <xf numFmtId="0" fontId="45" fillId="11" borderId="13" xfId="0" applyFont="1" applyFill="1" applyBorder="1"/>
    <xf numFmtId="0" fontId="58" fillId="11" borderId="1" xfId="0" applyFont="1" applyFill="1" applyBorder="1"/>
    <xf numFmtId="0" fontId="58" fillId="11" borderId="13" xfId="0" applyFont="1" applyFill="1" applyBorder="1"/>
    <xf numFmtId="0" fontId="18" fillId="2" borderId="12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9" fillId="2" borderId="13" xfId="0" applyFont="1" applyFill="1" applyBorder="1"/>
    <xf numFmtId="0" fontId="46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26" fillId="2" borderId="3" xfId="0" applyFont="1" applyFill="1" applyBorder="1" applyAlignment="1">
      <alignment horizontal="center"/>
    </xf>
    <xf numFmtId="0" fontId="26" fillId="2" borderId="4" xfId="0" applyFont="1" applyFill="1" applyBorder="1" applyAlignment="1">
      <alignment horizontal="center"/>
    </xf>
    <xf numFmtId="0" fontId="26" fillId="2" borderId="5" xfId="0" applyFont="1" applyFill="1" applyBorder="1" applyAlignment="1">
      <alignment horizontal="center"/>
    </xf>
    <xf numFmtId="0" fontId="25" fillId="0" borderId="9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6" fillId="6" borderId="3" xfId="0" applyFont="1" applyFill="1" applyBorder="1" applyAlignment="1">
      <alignment horizontal="center"/>
    </xf>
    <xf numFmtId="0" fontId="26" fillId="6" borderId="4" xfId="0" applyFont="1" applyFill="1" applyBorder="1" applyAlignment="1">
      <alignment horizontal="center"/>
    </xf>
    <xf numFmtId="0" fontId="26" fillId="6" borderId="5" xfId="0" applyFont="1" applyFill="1" applyBorder="1" applyAlignment="1">
      <alignment horizontal="center"/>
    </xf>
    <xf numFmtId="0" fontId="29" fillId="11" borderId="3" xfId="0" applyFont="1" applyFill="1" applyBorder="1" applyAlignment="1">
      <alignment horizontal="center"/>
    </xf>
    <xf numFmtId="0" fontId="29" fillId="11" borderId="4" xfId="0" applyFont="1" applyFill="1" applyBorder="1" applyAlignment="1">
      <alignment horizontal="center"/>
    </xf>
    <xf numFmtId="0" fontId="29" fillId="11" borderId="5" xfId="0" applyFont="1" applyFill="1" applyBorder="1" applyAlignment="1">
      <alignment horizontal="center"/>
    </xf>
    <xf numFmtId="0" fontId="27" fillId="0" borderId="11" xfId="0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7" fillId="0" borderId="14" xfId="0" applyFont="1" applyBorder="1" applyAlignment="1">
      <alignment horizontal="right" vertical="center"/>
    </xf>
    <xf numFmtId="0" fontId="27" fillId="0" borderId="12" xfId="0" applyFont="1" applyBorder="1" applyAlignment="1">
      <alignment horizontal="right" vertical="center"/>
    </xf>
    <xf numFmtId="0" fontId="27" fillId="0" borderId="1" xfId="0" applyFont="1" applyBorder="1" applyAlignment="1">
      <alignment horizontal="right" vertical="center"/>
    </xf>
    <xf numFmtId="0" fontId="27" fillId="0" borderId="13" xfId="0" applyFont="1" applyBorder="1" applyAlignment="1">
      <alignment horizontal="right" vertical="center"/>
    </xf>
    <xf numFmtId="0" fontId="20" fillId="0" borderId="0" xfId="0" applyFont="1" applyAlignment="1">
      <alignment horizontal="left" vertical="center" wrapText="1"/>
    </xf>
    <xf numFmtId="0" fontId="57" fillId="3" borderId="0" xfId="0" applyFont="1" applyFill="1" applyAlignment="1">
      <alignment horizontal="left" vertical="center" wrapText="1"/>
    </xf>
    <xf numFmtId="0" fontId="28" fillId="3" borderId="0" xfId="0" applyFont="1" applyFill="1" applyAlignment="1">
      <alignment horizontal="left" vertical="center" wrapText="1"/>
    </xf>
    <xf numFmtId="0" fontId="29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center"/>
    </xf>
    <xf numFmtId="0" fontId="57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27" fillId="3" borderId="0" xfId="0" applyFont="1" applyFill="1" applyAlignment="1">
      <alignment horizontal="center" vertical="center"/>
    </xf>
    <xf numFmtId="0" fontId="25" fillId="0" borderId="10" xfId="0" applyFont="1" applyBorder="1" applyAlignment="1">
      <alignment horizontal="left" vertical="top" wrapText="1"/>
    </xf>
    <xf numFmtId="0" fontId="25" fillId="0" borderId="14" xfId="0" applyFont="1" applyBorder="1" applyAlignment="1">
      <alignment horizontal="left" vertical="top" wrapText="1"/>
    </xf>
    <xf numFmtId="0" fontId="27" fillId="11" borderId="3" xfId="0" applyFont="1" applyFill="1" applyBorder="1" applyAlignment="1">
      <alignment horizontal="center"/>
    </xf>
    <xf numFmtId="0" fontId="27" fillId="11" borderId="15" xfId="0" applyFont="1" applyFill="1" applyBorder="1" applyAlignment="1">
      <alignment horizontal="center"/>
    </xf>
    <xf numFmtId="0" fontId="27" fillId="11" borderId="10" xfId="0" applyFont="1" applyFill="1" applyBorder="1" applyAlignment="1">
      <alignment horizontal="center"/>
    </xf>
    <xf numFmtId="0" fontId="27" fillId="0" borderId="2" xfId="0" applyFont="1" applyBorder="1" applyAlignment="1">
      <alignment horizontal="right" vertical="center"/>
    </xf>
    <xf numFmtId="0" fontId="27" fillId="2" borderId="3" xfId="0" applyFont="1" applyFill="1" applyBorder="1" applyAlignment="1">
      <alignment horizontal="center"/>
    </xf>
    <xf numFmtId="0" fontId="27" fillId="2" borderId="15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/>
    </xf>
    <xf numFmtId="0" fontId="25" fillId="0" borderId="3" xfId="0" applyFont="1" applyBorder="1" applyAlignment="1">
      <alignment horizontal="center" vertical="top"/>
    </xf>
    <xf numFmtId="0" fontId="25" fillId="0" borderId="2" xfId="0" applyFont="1" applyBorder="1" applyAlignment="1">
      <alignment horizontal="center" vertical="top"/>
    </xf>
    <xf numFmtId="0" fontId="27" fillId="2" borderId="4" xfId="0" applyFont="1" applyFill="1" applyBorder="1" applyAlignment="1">
      <alignment horizontal="center"/>
    </xf>
    <xf numFmtId="0" fontId="27" fillId="2" borderId="5" xfId="0" applyFont="1" applyFill="1" applyBorder="1" applyAlignment="1">
      <alignment horizontal="center"/>
    </xf>
    <xf numFmtId="0" fontId="25" fillId="0" borderId="6" xfId="0" applyFont="1" applyBorder="1" applyAlignment="1">
      <alignment horizontal="center" vertical="top"/>
    </xf>
    <xf numFmtId="0" fontId="25" fillId="0" borderId="8" xfId="0" applyFont="1" applyBorder="1" applyAlignment="1">
      <alignment horizontal="center" vertical="top"/>
    </xf>
    <xf numFmtId="0" fontId="25" fillId="0" borderId="6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left"/>
    </xf>
    <xf numFmtId="0" fontId="25" fillId="0" borderId="9" xfId="0" applyFont="1" applyBorder="1" applyAlignment="1">
      <alignment horizontal="center" vertical="top"/>
    </xf>
    <xf numFmtId="0" fontId="25" fillId="0" borderId="11" xfId="0" applyFont="1" applyBorder="1" applyAlignment="1">
      <alignment vertical="top"/>
    </xf>
    <xf numFmtId="0" fontId="25" fillId="0" borderId="12" xfId="0" applyFont="1" applyBorder="1" applyAlignment="1">
      <alignment vertical="top"/>
    </xf>
    <xf numFmtId="0" fontId="25" fillId="0" borderId="8" xfId="0" applyFont="1" applyBorder="1" applyAlignment="1">
      <alignment vertical="top"/>
    </xf>
    <xf numFmtId="0" fontId="25" fillId="0" borderId="7" xfId="0" applyFont="1" applyBorder="1" applyAlignment="1">
      <alignment vertical="top"/>
    </xf>
    <xf numFmtId="0" fontId="29" fillId="11" borderId="7" xfId="0" applyFont="1" applyFill="1" applyBorder="1" applyAlignment="1">
      <alignment horizontal="center"/>
    </xf>
    <xf numFmtId="0" fontId="27" fillId="2" borderId="12" xfId="0" applyFont="1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27" fillId="2" borderId="14" xfId="0" applyFont="1" applyFill="1" applyBorder="1" applyAlignment="1">
      <alignment horizontal="center"/>
    </xf>
    <xf numFmtId="0" fontId="28" fillId="0" borderId="1" xfId="0" applyFont="1" applyBorder="1" applyAlignment="1">
      <alignment horizontal="left"/>
    </xf>
    <xf numFmtId="0" fontId="15" fillId="0" borderId="2" xfId="0" applyFont="1" applyBorder="1" applyAlignment="1">
      <alignment horizontal="center" vertical="center" textRotation="90" wrapText="1"/>
    </xf>
    <xf numFmtId="0" fontId="15" fillId="0" borderId="2" xfId="0" applyFont="1" applyBorder="1" applyAlignment="1">
      <alignment horizontal="center"/>
    </xf>
    <xf numFmtId="0" fontId="25" fillId="0" borderId="7" xfId="0" applyFont="1" applyBorder="1" applyAlignment="1">
      <alignment horizontal="center" vertical="top"/>
    </xf>
    <xf numFmtId="0" fontId="26" fillId="0" borderId="9" xfId="0" applyFont="1" applyBorder="1" applyAlignment="1">
      <alignment horizontal="right" vertical="center"/>
    </xf>
    <xf numFmtId="0" fontId="26" fillId="0" borderId="15" xfId="0" applyFont="1" applyBorder="1" applyAlignment="1">
      <alignment horizontal="right" vertical="center"/>
    </xf>
    <xf numFmtId="0" fontId="26" fillId="0" borderId="10" xfId="0" applyFont="1" applyBorder="1" applyAlignment="1">
      <alignment horizontal="right" vertical="center"/>
    </xf>
    <xf numFmtId="0" fontId="26" fillId="0" borderId="11" xfId="0" applyFont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6" fillId="0" borderId="14" xfId="0" applyFont="1" applyBorder="1" applyAlignment="1">
      <alignment horizontal="right" vertical="center"/>
    </xf>
    <xf numFmtId="0" fontId="26" fillId="0" borderId="12" xfId="0" applyFont="1" applyBorder="1" applyAlignment="1">
      <alignment horizontal="right" vertical="center"/>
    </xf>
    <xf numFmtId="0" fontId="26" fillId="0" borderId="1" xfId="0" applyFont="1" applyBorder="1" applyAlignment="1">
      <alignment horizontal="right" vertical="center"/>
    </xf>
    <xf numFmtId="0" fontId="26" fillId="0" borderId="13" xfId="0" applyFont="1" applyBorder="1" applyAlignment="1">
      <alignment horizontal="right" vertical="center"/>
    </xf>
    <xf numFmtId="0" fontId="13" fillId="0" borderId="3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27" fillId="0" borderId="9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0" fontId="27" fillId="0" borderId="10" xfId="0" applyFont="1" applyBorder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6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3" fillId="0" borderId="6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6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/>
    </xf>
    <xf numFmtId="0" fontId="29" fillId="11" borderId="12" xfId="0" applyFont="1" applyFill="1" applyBorder="1" applyAlignment="1">
      <alignment horizontal="center"/>
    </xf>
    <xf numFmtId="0" fontId="29" fillId="11" borderId="1" xfId="0" applyFont="1" applyFill="1" applyBorder="1" applyAlignment="1">
      <alignment horizontal="center"/>
    </xf>
    <xf numFmtId="0" fontId="29" fillId="11" borderId="13" xfId="0" applyFont="1" applyFill="1" applyBorder="1" applyAlignment="1">
      <alignment horizontal="center"/>
    </xf>
    <xf numFmtId="0" fontId="25" fillId="0" borderId="11" xfId="0" applyFont="1" applyBorder="1" applyAlignment="1">
      <alignment horizontal="center" vertical="top"/>
    </xf>
    <xf numFmtId="0" fontId="25" fillId="0" borderId="12" xfId="0" applyFont="1" applyBorder="1" applyAlignment="1">
      <alignment horizontal="center" vertical="top"/>
    </xf>
    <xf numFmtId="0" fontId="25" fillId="0" borderId="14" xfId="0" applyFont="1" applyBorder="1" applyAlignment="1">
      <alignment horizontal="left"/>
    </xf>
    <xf numFmtId="0" fontId="29" fillId="3" borderId="0" xfId="0" applyFont="1" applyFill="1" applyAlignment="1">
      <alignment horizontal="center" vertical="center" wrapText="1"/>
    </xf>
    <xf numFmtId="0" fontId="27" fillId="6" borderId="3" xfId="0" applyFont="1" applyFill="1" applyBorder="1" applyAlignment="1">
      <alignment horizontal="center"/>
    </xf>
    <xf numFmtId="0" fontId="27" fillId="6" borderId="15" xfId="0" applyFont="1" applyFill="1" applyBorder="1" applyAlignment="1">
      <alignment horizontal="center"/>
    </xf>
    <xf numFmtId="0" fontId="27" fillId="6" borderId="10" xfId="0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 vertical="center"/>
    </xf>
    <xf numFmtId="49" fontId="32" fillId="0" borderId="6" xfId="0" applyNumberFormat="1" applyFont="1" applyBorder="1" applyAlignment="1">
      <alignment horizontal="center" vertical="center"/>
    </xf>
    <xf numFmtId="49" fontId="32" fillId="0" borderId="8" xfId="0" applyNumberFormat="1" applyFont="1" applyBorder="1" applyAlignment="1">
      <alignment horizontal="center" vertical="center"/>
    </xf>
    <xf numFmtId="49" fontId="32" fillId="0" borderId="7" xfId="0" applyNumberFormat="1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6" fillId="11" borderId="2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27" fillId="11" borderId="2" xfId="0" applyFont="1" applyFill="1" applyBorder="1" applyAlignment="1">
      <alignment horizontal="center" vertical="center"/>
    </xf>
    <xf numFmtId="0" fontId="27" fillId="11" borderId="7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49" fontId="19" fillId="0" borderId="8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9" fillId="12" borderId="12" xfId="0" applyFont="1" applyFill="1" applyBorder="1" applyAlignment="1">
      <alignment horizontal="center" vertical="center"/>
    </xf>
    <xf numFmtId="0" fontId="29" fillId="12" borderId="1" xfId="0" applyFont="1" applyFill="1" applyBorder="1" applyAlignment="1">
      <alignment horizontal="center" vertical="center"/>
    </xf>
    <xf numFmtId="0" fontId="29" fillId="12" borderId="13" xfId="0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16" fillId="3" borderId="0" xfId="0" applyFont="1" applyFill="1" applyAlignment="1">
      <alignment horizontal="left" vertical="center" wrapText="1"/>
    </xf>
    <xf numFmtId="0" fontId="57" fillId="3" borderId="0" xfId="0" applyFont="1" applyFill="1" applyAlignment="1">
      <alignment horizontal="left" wrapText="1"/>
    </xf>
    <xf numFmtId="0" fontId="27" fillId="3" borderId="0" xfId="0" applyFont="1" applyFill="1" applyAlignment="1" applyProtection="1">
      <alignment horizontal="center"/>
      <protection hidden="1"/>
    </xf>
    <xf numFmtId="0" fontId="57" fillId="3" borderId="0" xfId="0" applyFont="1" applyFill="1" applyAlignment="1" applyProtection="1">
      <alignment horizontal="left"/>
      <protection hidden="1"/>
    </xf>
    <xf numFmtId="0" fontId="57" fillId="0" borderId="1" xfId="0" applyFont="1" applyBorder="1" applyAlignment="1">
      <alignment horizontal="left" vertical="center" wrapText="1"/>
    </xf>
    <xf numFmtId="0" fontId="37" fillId="0" borderId="6" xfId="0" applyFont="1" applyBorder="1" applyAlignment="1">
      <alignment horizontal="center" vertical="top" wrapText="1"/>
    </xf>
    <xf numFmtId="0" fontId="136" fillId="0" borderId="8" xfId="0" applyFont="1" applyBorder="1" applyAlignment="1">
      <alignment horizontal="center" vertical="top" wrapText="1"/>
    </xf>
    <xf numFmtId="0" fontId="136" fillId="0" borderId="7" xfId="0" applyFont="1" applyBorder="1" applyAlignment="1">
      <alignment horizontal="center" vertical="top" wrapText="1"/>
    </xf>
    <xf numFmtId="0" fontId="37" fillId="0" borderId="10" xfId="0" applyFont="1" applyBorder="1" applyAlignment="1">
      <alignment horizontal="center" vertical="top" wrapText="1"/>
    </xf>
    <xf numFmtId="0" fontId="136" fillId="0" borderId="14" xfId="0" applyFont="1" applyBorder="1" applyAlignment="1">
      <alignment horizontal="center" vertical="top" wrapText="1"/>
    </xf>
    <xf numFmtId="0" fontId="136" fillId="0" borderId="13" xfId="0" applyFont="1" applyBorder="1" applyAlignment="1">
      <alignment horizontal="center" vertical="top" wrapText="1"/>
    </xf>
    <xf numFmtId="0" fontId="37" fillId="3" borderId="6" xfId="0" applyFont="1" applyFill="1" applyBorder="1" applyAlignment="1">
      <alignment horizontal="center" vertical="top" wrapText="1"/>
    </xf>
    <xf numFmtId="0" fontId="136" fillId="3" borderId="8" xfId="0" applyFont="1" applyFill="1" applyBorder="1" applyAlignment="1">
      <alignment horizontal="center" vertical="top"/>
    </xf>
    <xf numFmtId="0" fontId="136" fillId="3" borderId="7" xfId="0" applyFont="1" applyFill="1" applyBorder="1" applyAlignment="1">
      <alignment horizontal="center" vertical="top"/>
    </xf>
    <xf numFmtId="0" fontId="136" fillId="3" borderId="8" xfId="0" applyFont="1" applyFill="1" applyBorder="1" applyAlignment="1">
      <alignment horizontal="center" vertical="top" wrapText="1"/>
    </xf>
    <xf numFmtId="0" fontId="136" fillId="3" borderId="7" xfId="0" applyFont="1" applyFill="1" applyBorder="1" applyAlignment="1">
      <alignment horizontal="center" vertical="top" wrapText="1"/>
    </xf>
    <xf numFmtId="0" fontId="4" fillId="11" borderId="9" xfId="0" applyFont="1" applyFill="1" applyBorder="1" applyAlignment="1">
      <alignment horizontal="center" vertical="center"/>
    </xf>
    <xf numFmtId="0" fontId="127" fillId="11" borderId="4" xfId="0" applyFont="1" applyFill="1" applyBorder="1" applyAlignment="1">
      <alignment horizontal="center" vertical="center"/>
    </xf>
    <xf numFmtId="0" fontId="127" fillId="11" borderId="15" xfId="0" applyFont="1" applyFill="1" applyBorder="1" applyAlignment="1">
      <alignment horizontal="center" vertical="center"/>
    </xf>
    <xf numFmtId="0" fontId="127" fillId="11" borderId="5" xfId="0" applyFont="1" applyFill="1" applyBorder="1" applyAlignment="1">
      <alignment horizontal="center" vertical="center"/>
    </xf>
    <xf numFmtId="0" fontId="42" fillId="5" borderId="3" xfId="0" applyFont="1" applyFill="1" applyBorder="1" applyAlignment="1">
      <alignment horizontal="center" vertical="center" wrapText="1"/>
    </xf>
    <xf numFmtId="0" fontId="137" fillId="5" borderId="4" xfId="0" applyFont="1" applyFill="1" applyBorder="1" applyAlignment="1">
      <alignment horizontal="center" vertical="center" wrapText="1"/>
    </xf>
    <xf numFmtId="0" fontId="137" fillId="5" borderId="5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top" wrapText="1"/>
    </xf>
    <xf numFmtId="0" fontId="139" fillId="0" borderId="14" xfId="0" applyFont="1" applyBorder="1" applyAlignment="1">
      <alignment horizontal="center" vertical="top" wrapText="1"/>
    </xf>
    <xf numFmtId="0" fontId="139" fillId="0" borderId="13" xfId="0" applyFont="1" applyBorder="1" applyAlignment="1">
      <alignment horizontal="center" vertical="top" wrapText="1"/>
    </xf>
    <xf numFmtId="0" fontId="140" fillId="0" borderId="9" xfId="0" applyFont="1" applyBorder="1" applyAlignment="1">
      <alignment horizontal="right" vertical="center"/>
    </xf>
    <xf numFmtId="0" fontId="140" fillId="0" borderId="15" xfId="0" applyFont="1" applyBorder="1" applyAlignment="1">
      <alignment horizontal="right" vertical="center"/>
    </xf>
    <xf numFmtId="0" fontId="140" fillId="0" borderId="10" xfId="0" applyFont="1" applyBorder="1" applyAlignment="1">
      <alignment horizontal="right" vertical="center"/>
    </xf>
    <xf numFmtId="0" fontId="140" fillId="0" borderId="11" xfId="0" applyFont="1" applyBorder="1" applyAlignment="1">
      <alignment horizontal="right" vertical="center"/>
    </xf>
    <xf numFmtId="0" fontId="140" fillId="0" borderId="0" xfId="0" applyFont="1" applyAlignment="1">
      <alignment horizontal="right" vertical="center"/>
    </xf>
    <xf numFmtId="0" fontId="140" fillId="0" borderId="14" xfId="0" applyFont="1" applyBorder="1" applyAlignment="1">
      <alignment horizontal="right" vertical="center"/>
    </xf>
    <xf numFmtId="0" fontId="140" fillId="0" borderId="12" xfId="0" applyFont="1" applyBorder="1" applyAlignment="1">
      <alignment horizontal="right" vertical="center"/>
    </xf>
    <xf numFmtId="0" fontId="140" fillId="0" borderId="1" xfId="0" applyFont="1" applyBorder="1" applyAlignment="1">
      <alignment horizontal="right" vertical="center"/>
    </xf>
    <xf numFmtId="0" fontId="140" fillId="0" borderId="13" xfId="0" applyFont="1" applyBorder="1" applyAlignment="1">
      <alignment horizontal="right" vertical="center"/>
    </xf>
    <xf numFmtId="0" fontId="38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38" fillId="0" borderId="6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textRotation="90" wrapText="1"/>
    </xf>
    <xf numFmtId="0" fontId="136" fillId="0" borderId="5" xfId="0" applyFont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/>
    </xf>
    <xf numFmtId="0" fontId="127" fillId="6" borderId="4" xfId="0" applyFont="1" applyFill="1" applyBorder="1" applyAlignment="1">
      <alignment horizontal="center" vertical="center"/>
    </xf>
    <xf numFmtId="0" fontId="127" fillId="6" borderId="15" xfId="0" applyFont="1" applyFill="1" applyBorder="1" applyAlignment="1">
      <alignment horizontal="center" vertical="center"/>
    </xf>
    <xf numFmtId="0" fontId="127" fillId="6" borderId="5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8" fillId="5" borderId="2" xfId="0" applyFont="1" applyFill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29" fillId="5" borderId="2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top"/>
    </xf>
    <xf numFmtId="0" fontId="108" fillId="0" borderId="15" xfId="0" applyFont="1" applyBorder="1" applyAlignment="1">
      <alignment horizontal="center" vertical="top"/>
    </xf>
    <xf numFmtId="0" fontId="108" fillId="0" borderId="10" xfId="0" applyFont="1" applyBorder="1" applyAlignment="1">
      <alignment horizontal="center" vertical="top"/>
    </xf>
    <xf numFmtId="0" fontId="108" fillId="0" borderId="12" xfId="0" applyFont="1" applyBorder="1" applyAlignment="1">
      <alignment horizontal="center" vertical="top"/>
    </xf>
    <xf numFmtId="0" fontId="108" fillId="0" borderId="1" xfId="0" applyFont="1" applyBorder="1" applyAlignment="1">
      <alignment horizontal="center" vertical="top"/>
    </xf>
    <xf numFmtId="0" fontId="108" fillId="0" borderId="13" xfId="0" applyFont="1" applyBorder="1" applyAlignment="1">
      <alignment horizontal="center" vertical="top"/>
    </xf>
    <xf numFmtId="0" fontId="4" fillId="5" borderId="2" xfId="0" applyFont="1" applyFill="1" applyBorder="1" applyAlignment="1">
      <alignment horizontal="center" vertical="top"/>
    </xf>
    <xf numFmtId="0" fontId="18" fillId="5" borderId="7" xfId="0" applyFont="1" applyFill="1" applyBorder="1" applyAlignment="1">
      <alignment horizontal="center" vertical="top"/>
    </xf>
    <xf numFmtId="0" fontId="29" fillId="12" borderId="2" xfId="0" applyFont="1" applyFill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29" fillId="12" borderId="7" xfId="0" applyFont="1" applyFill="1" applyBorder="1" applyAlignment="1">
      <alignment horizontal="center" vertical="top"/>
    </xf>
    <xf numFmtId="0" fontId="2" fillId="3" borderId="0" xfId="0" applyFont="1" applyFill="1" applyAlignment="1">
      <alignment horizontal="left" wrapText="1"/>
    </xf>
    <xf numFmtId="0" fontId="28" fillId="0" borderId="0" xfId="0" applyFont="1" applyAlignment="1">
      <alignment horizontal="left" wrapText="1"/>
    </xf>
    <xf numFmtId="0" fontId="28" fillId="0" borderId="1" xfId="0" applyFont="1" applyBorder="1" applyAlignment="1">
      <alignment horizontal="left" wrapText="1"/>
    </xf>
    <xf numFmtId="0" fontId="15" fillId="3" borderId="8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top" wrapText="1"/>
    </xf>
    <xf numFmtId="0" fontId="15" fillId="3" borderId="6" xfId="0" applyFont="1" applyFill="1" applyBorder="1" applyAlignment="1">
      <alignment horizontal="center" vertical="top" wrapText="1"/>
    </xf>
    <xf numFmtId="0" fontId="15" fillId="3" borderId="8" xfId="0" applyFont="1" applyFill="1" applyBorder="1" applyAlignment="1">
      <alignment horizontal="center" vertical="top" wrapText="1"/>
    </xf>
    <xf numFmtId="0" fontId="15" fillId="3" borderId="3" xfId="0" applyFont="1" applyFill="1" applyBorder="1" applyAlignment="1">
      <alignment horizontal="center" vertical="top" wrapText="1"/>
    </xf>
    <xf numFmtId="0" fontId="15" fillId="3" borderId="5" xfId="0" applyFont="1" applyFill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28" fillId="4" borderId="1" xfId="0" applyFont="1" applyFill="1" applyBorder="1" applyAlignment="1">
      <alignment horizontal="left"/>
    </xf>
    <xf numFmtId="0" fontId="28" fillId="0" borderId="0" xfId="0" applyFont="1" applyAlignment="1">
      <alignment horizontal="left"/>
    </xf>
    <xf numFmtId="0" fontId="25" fillId="0" borderId="0" xfId="0" applyFont="1" applyAlignment="1">
      <alignment horizontal="left" wrapText="1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49" fontId="29" fillId="12" borderId="12" xfId="0" applyNumberFormat="1" applyFont="1" applyFill="1" applyBorder="1" applyAlignment="1">
      <alignment horizontal="center" vertical="center"/>
    </xf>
    <xf numFmtId="0" fontId="98" fillId="12" borderId="1" xfId="0" applyFont="1" applyFill="1" applyBorder="1" applyAlignment="1">
      <alignment horizontal="center" vertical="center"/>
    </xf>
    <xf numFmtId="0" fontId="98" fillId="12" borderId="13" xfId="0" applyFont="1" applyFill="1" applyBorder="1" applyAlignment="1">
      <alignment horizontal="center" vertical="center"/>
    </xf>
    <xf numFmtId="49" fontId="29" fillId="2" borderId="12" xfId="0" applyNumberFormat="1" applyFont="1" applyFill="1" applyBorder="1" applyAlignment="1">
      <alignment horizontal="center" vertical="center"/>
    </xf>
    <xf numFmtId="0" fontId="98" fillId="2" borderId="1" xfId="0" applyFont="1" applyFill="1" applyBorder="1" applyAlignment="1">
      <alignment horizontal="center" vertical="center"/>
    </xf>
    <xf numFmtId="0" fontId="98" fillId="2" borderId="13" xfId="0" applyFont="1" applyFill="1" applyBorder="1" applyAlignment="1">
      <alignment horizontal="center" vertical="center"/>
    </xf>
    <xf numFmtId="49" fontId="26" fillId="2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49" fontId="26" fillId="6" borderId="3" xfId="0" applyNumberFormat="1" applyFont="1" applyFill="1" applyBorder="1" applyAlignment="1">
      <alignment horizontal="center" vertical="center"/>
    </xf>
    <xf numFmtId="0" fontId="33" fillId="6" borderId="4" xfId="0" applyFont="1" applyFill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49" fontId="29" fillId="2" borderId="3" xfId="0" applyNumberFormat="1" applyFont="1" applyFill="1" applyBorder="1" applyAlignment="1">
      <alignment horizontal="center" vertical="center"/>
    </xf>
    <xf numFmtId="0" fontId="98" fillId="2" borderId="4" xfId="0" applyFont="1" applyFill="1" applyBorder="1" applyAlignment="1">
      <alignment horizontal="center" vertical="center"/>
    </xf>
    <xf numFmtId="0" fontId="98" fillId="2" borderId="5" xfId="0" applyFont="1" applyFill="1" applyBorder="1" applyAlignment="1">
      <alignment horizontal="center" vertical="center"/>
    </xf>
    <xf numFmtId="49" fontId="25" fillId="0" borderId="6" xfId="0" applyNumberFormat="1" applyFont="1" applyBorder="1" applyAlignment="1">
      <alignment horizontal="center" vertical="center" wrapText="1"/>
    </xf>
    <xf numFmtId="49" fontId="25" fillId="0" borderId="8" xfId="0" applyNumberFormat="1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27" fillId="6" borderId="4" xfId="0" applyFont="1" applyFill="1" applyBorder="1" applyAlignment="1">
      <alignment horizontal="center" vertical="center"/>
    </xf>
    <xf numFmtId="0" fontId="27" fillId="6" borderId="5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42" fillId="0" borderId="3" xfId="0" applyFont="1" applyBorder="1" applyAlignment="1">
      <alignment horizontal="right" vertical="center" wrapText="1"/>
    </xf>
    <xf numFmtId="0" fontId="42" fillId="0" borderId="4" xfId="0" applyFont="1" applyBorder="1" applyAlignment="1">
      <alignment horizontal="right" vertical="center" wrapText="1"/>
    </xf>
    <xf numFmtId="0" fontId="32" fillId="3" borderId="6" xfId="0" applyFont="1" applyFill="1" applyBorder="1" applyAlignment="1">
      <alignment horizontal="center" vertical="center"/>
    </xf>
    <xf numFmtId="0" fontId="34" fillId="3" borderId="8" xfId="0" applyFont="1" applyFill="1" applyBorder="1" applyAlignment="1">
      <alignment horizontal="center" vertical="center"/>
    </xf>
    <xf numFmtId="0" fontId="34" fillId="3" borderId="7" xfId="0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 textRotation="90" wrapText="1"/>
    </xf>
    <xf numFmtId="0" fontId="34" fillId="0" borderId="8" xfId="0" applyFont="1" applyBorder="1" applyAlignment="1">
      <alignment horizontal="center" vertical="center" textRotation="90" wrapText="1"/>
    </xf>
    <xf numFmtId="0" fontId="34" fillId="0" borderId="7" xfId="0" applyFont="1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42" fillId="0" borderId="1" xfId="0" applyFont="1" applyBorder="1" applyAlignment="1">
      <alignment horizontal="right" vertical="center" wrapText="1"/>
    </xf>
    <xf numFmtId="0" fontId="0" fillId="0" borderId="7" xfId="0" applyBorder="1" applyAlignment="1">
      <alignment horizontal="center" vertical="center" textRotation="90" wrapText="1"/>
    </xf>
    <xf numFmtId="0" fontId="27" fillId="3" borderId="0" xfId="0" applyFont="1" applyFill="1" applyAlignment="1">
      <alignment horizontal="center" wrapText="1"/>
    </xf>
    <xf numFmtId="0" fontId="28" fillId="3" borderId="0" xfId="0" applyFont="1" applyFill="1" applyAlignment="1">
      <alignment horizontal="left" wrapText="1"/>
    </xf>
    <xf numFmtId="0" fontId="32" fillId="0" borderId="2" xfId="0" applyFont="1" applyBorder="1" applyAlignment="1">
      <alignment horizontal="center" vertical="top" wrapText="1"/>
    </xf>
    <xf numFmtId="0" fontId="32" fillId="0" borderId="6" xfId="0" applyFont="1" applyBorder="1" applyAlignment="1">
      <alignment horizontal="center" vertical="top" wrapText="1"/>
    </xf>
    <xf numFmtId="0" fontId="32" fillId="0" borderId="7" xfId="0" applyFont="1" applyBorder="1" applyAlignment="1">
      <alignment horizontal="center" vertical="top" wrapText="1"/>
    </xf>
    <xf numFmtId="0" fontId="32" fillId="0" borderId="4" xfId="0" applyFont="1" applyBorder="1" applyAlignment="1">
      <alignment horizontal="center" vertical="top" wrapText="1"/>
    </xf>
    <xf numFmtId="0" fontId="32" fillId="0" borderId="5" xfId="0" applyFont="1" applyBorder="1" applyAlignment="1">
      <alignment horizontal="center" vertical="top" wrapText="1"/>
    </xf>
    <xf numFmtId="0" fontId="32" fillId="3" borderId="6" xfId="0" applyFont="1" applyFill="1" applyBorder="1" applyAlignment="1">
      <alignment horizontal="center" vertical="top" wrapText="1"/>
    </xf>
    <xf numFmtId="0" fontId="32" fillId="3" borderId="7" xfId="0" applyFont="1" applyFill="1" applyBorder="1" applyAlignment="1">
      <alignment horizontal="center" vertical="top" wrapText="1"/>
    </xf>
    <xf numFmtId="0" fontId="42" fillId="6" borderId="3" xfId="0" applyFont="1" applyFill="1" applyBorder="1" applyAlignment="1">
      <alignment horizontal="center" vertical="center"/>
    </xf>
    <xf numFmtId="0" fontId="42" fillId="6" borderId="4" xfId="0" applyFont="1" applyFill="1" applyBorder="1" applyAlignment="1">
      <alignment horizontal="center" vertical="center"/>
    </xf>
    <xf numFmtId="0" fontId="42" fillId="6" borderId="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wrapText="1"/>
    </xf>
    <xf numFmtId="0" fontId="32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top" wrapText="1"/>
    </xf>
    <xf numFmtId="0" fontId="9" fillId="0" borderId="15" xfId="0" applyFont="1" applyBorder="1"/>
    <xf numFmtId="0" fontId="24" fillId="0" borderId="3" xfId="0" applyFont="1" applyBorder="1" applyAlignment="1">
      <alignment horizontal="right" vertical="center" wrapText="1"/>
    </xf>
    <xf numFmtId="0" fontId="24" fillId="0" borderId="4" xfId="0" applyFont="1" applyBorder="1" applyAlignment="1">
      <alignment horizontal="right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 vertical="center" wrapText="1"/>
    </xf>
    <xf numFmtId="0" fontId="26" fillId="5" borderId="4" xfId="0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26" fillId="11" borderId="3" xfId="0" applyFont="1" applyFill="1" applyBorder="1" applyAlignment="1">
      <alignment horizontal="center" vertical="center" wrapText="1"/>
    </xf>
    <xf numFmtId="0" fontId="26" fillId="11" borderId="4" xfId="0" applyFont="1" applyFill="1" applyBorder="1" applyAlignment="1">
      <alignment horizontal="center" vertical="center" wrapText="1"/>
    </xf>
    <xf numFmtId="0" fontId="26" fillId="11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29" fillId="5" borderId="4" xfId="0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35" fillId="0" borderId="2" xfId="0" applyFont="1" applyBorder="1" applyAlignment="1">
      <alignment horizontal="center" vertical="center" wrapText="1"/>
    </xf>
    <xf numFmtId="0" fontId="92" fillId="3" borderId="0" xfId="0" applyFont="1" applyFill="1" applyAlignment="1">
      <alignment horizontal="left" wrapText="1"/>
    </xf>
    <xf numFmtId="0" fontId="33" fillId="5" borderId="4" xfId="0" applyFont="1" applyFill="1" applyBorder="1" applyAlignment="1">
      <alignment horizontal="center" vertical="center" wrapText="1"/>
    </xf>
    <xf numFmtId="0" fontId="33" fillId="5" borderId="5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33" fillId="6" borderId="4" xfId="0" applyFont="1" applyFill="1" applyBorder="1" applyAlignment="1">
      <alignment horizontal="center" vertical="center" wrapText="1"/>
    </xf>
    <xf numFmtId="0" fontId="33" fillId="6" borderId="5" xfId="0" applyFont="1" applyFill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wrapText="1"/>
    </xf>
    <xf numFmtId="0" fontId="37" fillId="0" borderId="11" xfId="0" applyFont="1" applyBorder="1" applyAlignment="1">
      <alignment horizontal="center" wrapText="1"/>
    </xf>
    <xf numFmtId="0" fontId="37" fillId="0" borderId="8" xfId="0" applyFont="1" applyBorder="1" applyAlignment="1">
      <alignment horizontal="center" vertical="top" wrapText="1"/>
    </xf>
    <xf numFmtId="0" fontId="38" fillId="0" borderId="9" xfId="0" applyFont="1" applyBorder="1" applyAlignment="1">
      <alignment horizontal="center" wrapText="1"/>
    </xf>
    <xf numFmtId="0" fontId="38" fillId="0" borderId="11" xfId="0" applyFont="1" applyBorder="1" applyAlignment="1">
      <alignment horizontal="center" wrapText="1"/>
    </xf>
    <xf numFmtId="0" fontId="37" fillId="0" borderId="8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wrapText="1"/>
    </xf>
    <xf numFmtId="0" fontId="38" fillId="0" borderId="8" xfId="0" applyFont="1" applyBorder="1" applyAlignment="1">
      <alignment horizontal="center" wrapText="1"/>
    </xf>
    <xf numFmtId="0" fontId="37" fillId="0" borderId="6" xfId="0" applyFont="1" applyBorder="1" applyAlignment="1">
      <alignment horizontal="center" vertical="center" wrapText="1"/>
    </xf>
    <xf numFmtId="49" fontId="38" fillId="0" borderId="6" xfId="0" applyNumberFormat="1" applyFont="1" applyBorder="1" applyAlignment="1" applyProtection="1">
      <alignment horizontal="center" vertical="center"/>
      <protection hidden="1"/>
    </xf>
    <xf numFmtId="49" fontId="38" fillId="0" borderId="8" xfId="0" applyNumberFormat="1" applyFont="1" applyBorder="1" applyAlignment="1" applyProtection="1">
      <alignment horizontal="center" vertical="center"/>
      <protection hidden="1"/>
    </xf>
    <xf numFmtId="49" fontId="38" fillId="0" borderId="7" xfId="0" applyNumberFormat="1" applyFont="1" applyBorder="1" applyAlignment="1" applyProtection="1">
      <alignment horizontal="center" vertical="center"/>
      <protection hidden="1"/>
    </xf>
    <xf numFmtId="0" fontId="38" fillId="0" borderId="6" xfId="0" applyFont="1" applyBorder="1" applyAlignment="1" applyProtection="1">
      <alignment horizontal="center" vertical="center"/>
      <protection hidden="1"/>
    </xf>
    <xf numFmtId="0" fontId="38" fillId="0" borderId="8" xfId="0" applyFont="1" applyBorder="1" applyAlignment="1" applyProtection="1">
      <alignment horizontal="center" vertical="center"/>
      <protection hidden="1"/>
    </xf>
    <xf numFmtId="0" fontId="38" fillId="0" borderId="7" xfId="0" applyFont="1" applyBorder="1" applyAlignment="1" applyProtection="1">
      <alignment horizontal="center" vertical="center"/>
      <protection hidden="1"/>
    </xf>
    <xf numFmtId="165" fontId="38" fillId="0" borderId="6" xfId="0" applyNumberFormat="1" applyFont="1" applyBorder="1" applyAlignment="1" applyProtection="1">
      <alignment horizontal="center" vertical="center"/>
      <protection hidden="1"/>
    </xf>
    <xf numFmtId="165" fontId="38" fillId="0" borderId="8" xfId="0" applyNumberFormat="1" applyFont="1" applyBorder="1" applyAlignment="1" applyProtection="1">
      <alignment horizontal="center" vertical="center"/>
      <protection hidden="1"/>
    </xf>
    <xf numFmtId="165" fontId="38" fillId="0" borderId="7" xfId="0" applyNumberFormat="1" applyFont="1" applyBorder="1" applyAlignment="1" applyProtection="1">
      <alignment horizontal="center" vertical="center"/>
      <protection hidden="1"/>
    </xf>
    <xf numFmtId="0" fontId="38" fillId="0" borderId="7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0" fontId="38" fillId="0" borderId="6" xfId="0" applyFont="1" applyBorder="1" applyAlignment="1" applyProtection="1">
      <alignment horizontal="center" vertical="center" wrapText="1"/>
      <protection hidden="1"/>
    </xf>
    <xf numFmtId="0" fontId="38" fillId="0" borderId="8" xfId="0" applyFont="1" applyBorder="1" applyAlignment="1" applyProtection="1">
      <alignment horizontal="center" vertical="center" wrapText="1"/>
      <protection hidden="1"/>
    </xf>
    <xf numFmtId="0" fontId="38" fillId="0" borderId="7" xfId="0" applyFont="1" applyBorder="1" applyAlignment="1" applyProtection="1">
      <alignment horizontal="center" vertical="center" wrapText="1"/>
      <protection hidden="1"/>
    </xf>
    <xf numFmtId="0" fontId="38" fillId="0" borderId="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49" fontId="38" fillId="0" borderId="6" xfId="0" applyNumberFormat="1" applyFont="1" applyBorder="1" applyAlignment="1" applyProtection="1">
      <alignment horizontal="center" vertical="center" wrapText="1"/>
      <protection hidden="1"/>
    </xf>
    <xf numFmtId="49" fontId="38" fillId="0" borderId="8" xfId="0" applyNumberFormat="1" applyFont="1" applyBorder="1" applyAlignment="1" applyProtection="1">
      <alignment horizontal="center" vertical="center" wrapText="1"/>
      <protection hidden="1"/>
    </xf>
    <xf numFmtId="49" fontId="38" fillId="0" borderId="7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left"/>
    </xf>
    <xf numFmtId="0" fontId="41" fillId="2" borderId="9" xfId="0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horizontal="right" vertical="center" wrapText="1"/>
    </xf>
    <xf numFmtId="0" fontId="41" fillId="0" borderId="15" xfId="0" applyFont="1" applyBorder="1" applyAlignment="1">
      <alignment horizontal="right" vertical="center" wrapText="1"/>
    </xf>
    <xf numFmtId="0" fontId="41" fillId="0" borderId="10" xfId="0" applyFont="1" applyBorder="1" applyAlignment="1">
      <alignment horizontal="right" vertical="center" wrapText="1"/>
    </xf>
    <xf numFmtId="0" fontId="41" fillId="0" borderId="0" xfId="0" applyFont="1" applyAlignment="1">
      <alignment horizontal="right" vertical="center" wrapText="1"/>
    </xf>
    <xf numFmtId="0" fontId="41" fillId="0" borderId="14" xfId="0" applyFont="1" applyBorder="1" applyAlignment="1">
      <alignment horizontal="right" vertical="center" wrapText="1"/>
    </xf>
    <xf numFmtId="0" fontId="41" fillId="0" borderId="12" xfId="0" applyFont="1" applyBorder="1" applyAlignment="1">
      <alignment horizontal="right" vertical="center" wrapText="1"/>
    </xf>
    <xf numFmtId="0" fontId="41" fillId="0" borderId="1" xfId="0" applyFont="1" applyBorder="1" applyAlignment="1">
      <alignment horizontal="right" vertical="center" wrapText="1"/>
    </xf>
    <xf numFmtId="0" fontId="41" fillId="0" borderId="13" xfId="0" applyFont="1" applyBorder="1" applyAlignment="1">
      <alignment horizontal="right" vertical="center" wrapText="1"/>
    </xf>
    <xf numFmtId="0" fontId="26" fillId="6" borderId="9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68" fillId="3" borderId="0" xfId="0" applyFont="1" applyFill="1" applyAlignment="1">
      <alignment horizontal="center" wrapText="1"/>
    </xf>
    <xf numFmtId="0" fontId="57" fillId="3" borderId="1" xfId="0" applyFont="1" applyFill="1" applyBorder="1" applyAlignment="1">
      <alignment horizontal="center"/>
    </xf>
    <xf numFmtId="0" fontId="27" fillId="3" borderId="9" xfId="0" applyFont="1" applyFill="1" applyBorder="1" applyAlignment="1">
      <alignment horizontal="center" vertical="center" textRotation="90" wrapText="1"/>
    </xf>
    <xf numFmtId="0" fontId="27" fillId="3" borderId="11" xfId="0" applyFont="1" applyFill="1" applyBorder="1" applyAlignment="1">
      <alignment horizontal="center" vertical="center" textRotation="90" wrapText="1"/>
    </xf>
    <xf numFmtId="0" fontId="27" fillId="3" borderId="0" xfId="0" applyFont="1" applyFill="1" applyAlignment="1">
      <alignment horizontal="center"/>
    </xf>
    <xf numFmtId="0" fontId="68" fillId="3" borderId="0" xfId="0" applyFont="1" applyFill="1" applyAlignment="1">
      <alignment horizontal="left" wrapText="1"/>
    </xf>
    <xf numFmtId="0" fontId="27" fillId="3" borderId="6" xfId="0" applyFont="1" applyFill="1" applyBorder="1" applyAlignment="1">
      <alignment horizontal="center" vertical="center" textRotation="90" wrapText="1"/>
    </xf>
    <xf numFmtId="0" fontId="27" fillId="3" borderId="8" xfId="0" applyFont="1" applyFill="1" applyBorder="1" applyAlignment="1">
      <alignment horizontal="center" vertical="center" textRotation="90" wrapText="1"/>
    </xf>
    <xf numFmtId="0" fontId="27" fillId="3" borderId="7" xfId="0" applyFont="1" applyFill="1" applyBorder="1" applyAlignment="1">
      <alignment horizontal="center" vertical="center" textRotation="90" wrapText="1"/>
    </xf>
    <xf numFmtId="0" fontId="26" fillId="3" borderId="6" xfId="0" applyFont="1" applyFill="1" applyBorder="1" applyAlignment="1">
      <alignment horizontal="center" vertical="center" textRotation="90" wrapText="1"/>
    </xf>
    <xf numFmtId="0" fontId="26" fillId="3" borderId="8" xfId="0" applyFont="1" applyFill="1" applyBorder="1" applyAlignment="1">
      <alignment horizontal="center" vertical="center" textRotation="90" wrapText="1"/>
    </xf>
    <xf numFmtId="0" fontId="26" fillId="3" borderId="7" xfId="0" applyFont="1" applyFill="1" applyBorder="1" applyAlignment="1">
      <alignment horizontal="center" vertical="center" textRotation="90" wrapText="1"/>
    </xf>
    <xf numFmtId="0" fontId="68" fillId="3" borderId="0" xfId="0" applyFont="1" applyFill="1" applyAlignment="1">
      <alignment horizontal="center" vertical="center" wrapText="1"/>
    </xf>
    <xf numFmtId="0" fontId="27" fillId="3" borderId="39" xfId="0" applyFont="1" applyFill="1" applyBorder="1" applyAlignment="1">
      <alignment horizontal="center"/>
    </xf>
  </cellXfs>
  <cellStyles count="6">
    <cellStyle name="Итоги_текст" xfId="2" xr:uid="{C2558863-77A1-4F13-8C8B-6483E94F8C26}"/>
    <cellStyle name="мой новый" xfId="3" xr:uid="{3615E01D-25B3-4ABF-B13C-DE108F44571E}"/>
    <cellStyle name="Обычный" xfId="0" builtinId="0"/>
    <cellStyle name="Обычный 2" xfId="1" xr:uid="{FE6D6BC7-C65E-4071-A93D-1D95B7D00AD3}"/>
    <cellStyle name="Подзаголовок" xfId="4" xr:uid="{3C09C7C9-9485-45F5-8511-817B923FC599}"/>
    <cellStyle name="Примечание 2" xfId="5" xr:uid="{342F6B99-270D-47D7-8A86-D3C83F5E34CF}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41</xdr:row>
          <xdr:rowOff>200025</xdr:rowOff>
        </xdr:from>
        <xdr:to>
          <xdr:col>2</xdr:col>
          <xdr:colOff>95250</xdr:colOff>
          <xdr:row>46</xdr:row>
          <xdr:rowOff>76200</xdr:rowOff>
        </xdr:to>
        <xdr:sp macro="" textlink="">
          <xdr:nvSpPr>
            <xdr:cNvPr id="21505" name="Object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0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344365</xdr:colOff>
      <xdr:row>0</xdr:row>
      <xdr:rowOff>87923</xdr:rowOff>
    </xdr:from>
    <xdr:to>
      <xdr:col>8</xdr:col>
      <xdr:colOff>200025</xdr:colOff>
      <xdr:row>2</xdr:row>
      <xdr:rowOff>139213</xdr:rowOff>
    </xdr:to>
    <xdr:pic>
      <xdr:nvPicPr>
        <xdr:cNvPr id="2" name="Рисунок 22" descr="\\polymetal.ru\poly\Storage\39-УМК\Общая папка\Новый логотип\project_docs.jpg">
          <a:extLst>
            <a:ext uri="{FF2B5EF4-FFF2-40B4-BE49-F238E27FC236}">
              <a16:creationId xmlns:a16="http://schemas.microsoft.com/office/drawing/2014/main" id="{4F6A1AC7-EBBA-4058-87C1-33F9A8249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190" y="87923"/>
          <a:ext cx="1798760" cy="43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60</xdr:row>
      <xdr:rowOff>15889</xdr:rowOff>
    </xdr:from>
    <xdr:to>
      <xdr:col>12</xdr:col>
      <xdr:colOff>361950</xdr:colOff>
      <xdr:row>75</xdr:row>
      <xdr:rowOff>123826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33C5DFD-BAC0-807B-E7C0-6F296115E5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4" t="46784" r="8124" b="14417"/>
        <a:stretch>
          <a:fillRect/>
        </a:stretch>
      </xdr:blipFill>
      <xdr:spPr bwMode="auto">
        <a:xfrm>
          <a:off x="28575" y="14046214"/>
          <a:ext cx="5781675" cy="396556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28575</xdr:colOff>
      <xdr:row>86</xdr:row>
      <xdr:rowOff>95250</xdr:rowOff>
    </xdr:from>
    <xdr:to>
      <xdr:col>8</xdr:col>
      <xdr:colOff>352425</xdr:colOff>
      <xdr:row>88</xdr:row>
      <xdr:rowOff>114300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7628C6C-0C36-61F5-69D2-296CFF2DA4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73" t="19457" r="31374" b="74484"/>
        <a:stretch>
          <a:fillRect/>
        </a:stretch>
      </xdr:blipFill>
      <xdr:spPr bwMode="auto">
        <a:xfrm>
          <a:off x="3019425" y="20602575"/>
          <a:ext cx="923925" cy="495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9525</xdr:colOff>
      <xdr:row>89</xdr:row>
      <xdr:rowOff>171451</xdr:rowOff>
    </xdr:from>
    <xdr:to>
      <xdr:col>8</xdr:col>
      <xdr:colOff>171450</xdr:colOff>
      <xdr:row>91</xdr:row>
      <xdr:rowOff>152401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03FF4CD-8937-B07D-BF96-78C8C63236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723" t="25749" r="30251" b="69008"/>
        <a:stretch>
          <a:fillRect/>
        </a:stretch>
      </xdr:blipFill>
      <xdr:spPr bwMode="auto">
        <a:xfrm>
          <a:off x="3000375" y="21393151"/>
          <a:ext cx="762000" cy="4572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90976-3B63-44CE-B8BF-49DEE4FFD1A1}">
  <dimension ref="A1:M161"/>
  <sheetViews>
    <sheetView tabSelected="1" view="pageBreakPreview" topLeftCell="A67" zoomScaleNormal="100" zoomScaleSheetLayoutView="100" workbookViewId="0">
      <selection activeCell="K99" sqref="K99"/>
    </sheetView>
  </sheetViews>
  <sheetFormatPr defaultColWidth="6.7109375" defaultRowHeight="18.75" x14ac:dyDescent="0.3"/>
  <cols>
    <col min="1" max="1" width="4.5703125" style="6" customWidth="1"/>
    <col min="2" max="7" width="6.7109375" style="106"/>
    <col min="8" max="8" width="9" style="106" customWidth="1"/>
    <col min="9" max="9" width="6.7109375" style="106"/>
    <col min="10" max="10" width="3.7109375" style="106" customWidth="1"/>
    <col min="11" max="11" width="6.42578125" style="106" customWidth="1"/>
    <col min="12" max="12" width="11" style="596" customWidth="1"/>
    <col min="13" max="13" width="5.5703125" style="50" customWidth="1"/>
    <col min="14" max="16384" width="6.7109375" style="50"/>
  </cols>
  <sheetData>
    <row r="1" spans="1:13" s="578" customFormat="1" ht="15" x14ac:dyDescent="0.25">
      <c r="B1" s="1110"/>
      <c r="C1" s="1110"/>
      <c r="D1" s="1110"/>
      <c r="E1" s="1110"/>
      <c r="F1" s="1110"/>
      <c r="G1" s="1110"/>
      <c r="H1" s="1110"/>
      <c r="I1" s="1110"/>
      <c r="J1" s="1110"/>
      <c r="K1" s="1110"/>
      <c r="L1" s="1110"/>
      <c r="M1" s="1110"/>
    </row>
    <row r="2" spans="1:13" s="578" customFormat="1" ht="15" x14ac:dyDescent="0.25">
      <c r="B2" s="1110"/>
      <c r="C2" s="1110"/>
      <c r="D2" s="1110"/>
      <c r="E2" s="1110"/>
      <c r="F2" s="1110"/>
      <c r="G2" s="1110"/>
      <c r="H2" s="1110"/>
      <c r="I2" s="1110"/>
      <c r="J2" s="1110"/>
      <c r="K2" s="1110"/>
      <c r="L2" s="1110"/>
      <c r="M2" s="1110"/>
    </row>
    <row r="3" spans="1:13" s="578" customFormat="1" ht="15" x14ac:dyDescent="0.25">
      <c r="B3" s="1110"/>
      <c r="C3" s="1110"/>
      <c r="D3" s="1110"/>
      <c r="E3" s="1110"/>
      <c r="F3" s="1110"/>
      <c r="G3" s="1110"/>
      <c r="H3" s="1110"/>
      <c r="I3" s="1110"/>
      <c r="J3" s="1110"/>
      <c r="K3" s="1110"/>
      <c r="L3" s="1110"/>
      <c r="M3" s="1110"/>
    </row>
    <row r="4" spans="1:13" s="578" customFormat="1" ht="15" x14ac:dyDescent="0.25">
      <c r="B4" s="1110"/>
      <c r="C4" s="1110"/>
      <c r="D4" s="1110"/>
      <c r="E4" s="1110"/>
      <c r="F4" s="1110"/>
      <c r="G4" s="1110"/>
      <c r="H4" s="1110"/>
      <c r="I4" s="1110"/>
      <c r="J4" s="1110"/>
      <c r="K4" s="1110"/>
      <c r="L4" s="1110"/>
      <c r="M4" s="1110"/>
    </row>
    <row r="5" spans="1:13" s="9" customFormat="1" ht="16.5" x14ac:dyDescent="0.25">
      <c r="B5" s="1112" t="s">
        <v>1090</v>
      </c>
      <c r="C5" s="1112"/>
      <c r="D5" s="1112"/>
      <c r="E5" s="1112"/>
      <c r="F5" s="1112"/>
      <c r="G5" s="1112"/>
      <c r="H5" s="1112"/>
      <c r="I5" s="1112"/>
      <c r="J5" s="1112"/>
      <c r="K5" s="1112"/>
      <c r="L5" s="1112"/>
      <c r="M5" s="579"/>
    </row>
    <row r="7" spans="1:13" s="49" customFormat="1" x14ac:dyDescent="0.3">
      <c r="A7" s="580"/>
      <c r="B7" s="581"/>
      <c r="C7" s="581"/>
      <c r="D7" s="581"/>
      <c r="E7" s="581"/>
      <c r="F7" s="581"/>
      <c r="G7" s="581"/>
      <c r="H7" s="581"/>
      <c r="I7" s="581"/>
      <c r="J7" s="581"/>
      <c r="K7" s="581"/>
      <c r="L7" s="135"/>
    </row>
    <row r="11" spans="1:13" s="49" customFormat="1" x14ac:dyDescent="0.3">
      <c r="A11" s="580"/>
      <c r="B11" s="581"/>
      <c r="C11" s="581"/>
      <c r="D11" s="581"/>
      <c r="E11" s="581"/>
      <c r="F11" s="581"/>
      <c r="G11" s="581"/>
      <c r="H11" s="581"/>
      <c r="I11" s="581"/>
      <c r="J11" s="581"/>
      <c r="K11" s="581"/>
      <c r="L11" s="135"/>
    </row>
    <row r="12" spans="1:13" s="48" customFormat="1" ht="19.5" x14ac:dyDescent="0.3">
      <c r="A12" s="582"/>
      <c r="B12" s="1113" t="s">
        <v>1091</v>
      </c>
      <c r="C12" s="1113"/>
      <c r="D12" s="1113"/>
      <c r="E12" s="1113"/>
      <c r="F12" s="1113"/>
      <c r="G12" s="1113"/>
      <c r="H12" s="1113"/>
      <c r="I12" s="1113"/>
      <c r="J12" s="1113"/>
      <c r="K12" s="1113"/>
      <c r="L12" s="1113"/>
      <c r="M12" s="582"/>
    </row>
    <row r="13" spans="1:13" s="583" customFormat="1" ht="11.25" customHeight="1" x14ac:dyDescent="0.3">
      <c r="A13" s="1103"/>
      <c r="B13" s="1103"/>
      <c r="C13" s="1103"/>
      <c r="D13" s="1103"/>
      <c r="E13" s="1103"/>
      <c r="F13" s="1103"/>
      <c r="G13" s="1103"/>
      <c r="H13" s="1103"/>
      <c r="I13" s="1103"/>
      <c r="J13" s="1103"/>
      <c r="K13" s="1103"/>
      <c r="L13" s="1103"/>
      <c r="M13" s="1103"/>
    </row>
    <row r="14" spans="1:13" s="584" customFormat="1" ht="40.5" customHeight="1" x14ac:dyDescent="0.3">
      <c r="A14" s="1114" t="s">
        <v>1092</v>
      </c>
      <c r="B14" s="1114"/>
      <c r="C14" s="1114"/>
      <c r="D14" s="1114"/>
      <c r="E14" s="1114"/>
      <c r="F14" s="1114"/>
      <c r="G14" s="1114"/>
      <c r="H14" s="1114"/>
      <c r="I14" s="1114"/>
      <c r="J14" s="1114"/>
      <c r="K14" s="1114"/>
      <c r="L14" s="1114"/>
      <c r="M14" s="1114"/>
    </row>
    <row r="15" spans="1:13" s="49" customFormat="1" ht="16.5" customHeight="1" x14ac:dyDescent="0.3">
      <c r="A15" s="585"/>
      <c r="B15" s="585"/>
      <c r="C15" s="585"/>
      <c r="D15" s="585"/>
      <c r="E15" s="585"/>
      <c r="F15" s="585"/>
      <c r="G15" s="585"/>
      <c r="H15" s="585"/>
      <c r="I15" s="585"/>
      <c r="J15" s="585"/>
      <c r="K15" s="585"/>
      <c r="L15" s="585"/>
      <c r="M15" s="585"/>
    </row>
    <row r="16" spans="1:13" s="49" customFormat="1" ht="18" customHeight="1" x14ac:dyDescent="0.3">
      <c r="A16" s="586"/>
      <c r="B16" s="1115" t="s">
        <v>1093</v>
      </c>
      <c r="C16" s="1115"/>
      <c r="D16" s="1115"/>
      <c r="E16" s="1115"/>
      <c r="F16" s="1115"/>
      <c r="G16" s="1115"/>
      <c r="H16" s="1115"/>
      <c r="I16" s="1115"/>
      <c r="J16" s="1115"/>
      <c r="K16" s="1115"/>
      <c r="L16" s="1115"/>
      <c r="M16" s="586"/>
    </row>
    <row r="17" spans="1:13" s="49" customFormat="1" ht="18" customHeight="1" x14ac:dyDescent="0.3">
      <c r="A17" s="586"/>
      <c r="B17" s="586"/>
      <c r="C17" s="586"/>
      <c r="D17" s="586"/>
      <c r="E17" s="586"/>
      <c r="F17" s="586"/>
      <c r="G17" s="586"/>
      <c r="H17" s="586"/>
      <c r="I17" s="586"/>
      <c r="J17" s="586"/>
      <c r="K17" s="586"/>
      <c r="L17" s="586"/>
      <c r="M17" s="586"/>
    </row>
    <row r="18" spans="1:13" s="48" customFormat="1" x14ac:dyDescent="0.3">
      <c r="A18" s="1103" t="s">
        <v>1094</v>
      </c>
      <c r="B18" s="1103"/>
      <c r="C18" s="1103"/>
      <c r="D18" s="1103"/>
      <c r="E18" s="1103"/>
      <c r="F18" s="1103"/>
      <c r="G18" s="1103"/>
      <c r="H18" s="1103"/>
      <c r="I18" s="1103"/>
      <c r="J18" s="1103"/>
      <c r="K18" s="1103"/>
      <c r="L18" s="1103"/>
      <c r="M18" s="1103"/>
    </row>
    <row r="19" spans="1:13" s="48" customFormat="1" ht="11.25" customHeight="1" x14ac:dyDescent="0.3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</row>
    <row r="20" spans="1:13" s="48" customFormat="1" x14ac:dyDescent="0.3">
      <c r="A20" s="81"/>
      <c r="B20" s="1103" t="s">
        <v>1095</v>
      </c>
      <c r="C20" s="1103"/>
      <c r="D20" s="1103"/>
      <c r="E20" s="1103"/>
      <c r="F20" s="1103"/>
      <c r="G20" s="1103"/>
      <c r="H20" s="1103"/>
      <c r="I20" s="1103"/>
      <c r="J20" s="1103"/>
      <c r="K20" s="1103"/>
      <c r="L20" s="1103"/>
      <c r="M20" s="81"/>
    </row>
    <row r="21" spans="1:13" s="48" customFormat="1" x14ac:dyDescent="0.3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</row>
    <row r="22" spans="1:13" s="49" customFormat="1" ht="20.25" x14ac:dyDescent="0.3">
      <c r="A22" s="1102" t="s">
        <v>1096</v>
      </c>
      <c r="B22" s="1102"/>
      <c r="C22" s="1102"/>
      <c r="D22" s="1102"/>
      <c r="E22" s="1102"/>
      <c r="F22" s="1102"/>
      <c r="G22" s="1102"/>
      <c r="H22" s="1102"/>
      <c r="I22" s="1102"/>
      <c r="J22" s="1102"/>
      <c r="K22" s="1102"/>
      <c r="L22" s="1102"/>
      <c r="M22" s="1102"/>
    </row>
    <row r="23" spans="1:13" s="49" customFormat="1" ht="20.25" x14ac:dyDescent="0.3">
      <c r="A23" s="587"/>
      <c r="B23" s="587"/>
      <c r="C23" s="587"/>
      <c r="D23" s="587"/>
      <c r="E23" s="587"/>
      <c r="F23" s="587"/>
      <c r="G23" s="587"/>
      <c r="H23" s="587"/>
      <c r="I23" s="587"/>
      <c r="J23" s="587"/>
      <c r="K23" s="587"/>
      <c r="L23" s="587"/>
      <c r="M23" s="587"/>
    </row>
    <row r="24" spans="1:13" s="584" customFormat="1" ht="20.25" x14ac:dyDescent="0.3">
      <c r="A24" s="1109" t="s">
        <v>1227</v>
      </c>
      <c r="B24" s="1109"/>
      <c r="C24" s="1109"/>
      <c r="D24" s="1109"/>
      <c r="E24" s="1109"/>
      <c r="F24" s="1109"/>
      <c r="G24" s="1109"/>
      <c r="H24" s="1109"/>
      <c r="I24" s="1109"/>
      <c r="J24" s="1109"/>
      <c r="K24" s="1109"/>
      <c r="L24" s="1109"/>
      <c r="M24" s="1109"/>
    </row>
    <row r="25" spans="1:13" s="132" customFormat="1" ht="18" customHeight="1" x14ac:dyDescent="0.3">
      <c r="A25" s="1109" t="s">
        <v>1097</v>
      </c>
      <c r="B25" s="1109"/>
      <c r="C25" s="1109"/>
      <c r="D25" s="1109"/>
      <c r="E25" s="1109"/>
      <c r="F25" s="1109"/>
      <c r="G25" s="1109"/>
      <c r="H25" s="1109"/>
      <c r="I25" s="1109"/>
      <c r="J25" s="1109"/>
      <c r="K25" s="1109"/>
      <c r="L25" s="1109"/>
      <c r="M25" s="1109"/>
    </row>
    <row r="26" spans="1:13" s="588" customFormat="1" ht="20.25" x14ac:dyDescent="0.3">
      <c r="A26" s="1102" t="s">
        <v>1228</v>
      </c>
      <c r="B26" s="1102"/>
      <c r="C26" s="1102"/>
      <c r="D26" s="1102"/>
      <c r="E26" s="1102"/>
      <c r="F26" s="1102"/>
      <c r="G26" s="1102"/>
      <c r="H26" s="1102"/>
      <c r="I26" s="1102"/>
      <c r="J26" s="1102"/>
      <c r="K26" s="1102"/>
      <c r="L26" s="1102"/>
      <c r="M26" s="1102"/>
    </row>
    <row r="31" spans="1:13" s="592" customFormat="1" x14ac:dyDescent="0.3">
      <c r="A31" s="589"/>
      <c r="B31" s="590"/>
      <c r="C31" s="590"/>
      <c r="D31" s="590"/>
      <c r="E31" s="590"/>
      <c r="F31" s="590"/>
      <c r="G31" s="590"/>
      <c r="H31" s="590"/>
      <c r="I31" s="590"/>
      <c r="J31" s="590"/>
      <c r="K31" s="590"/>
      <c r="L31" s="591"/>
    </row>
    <row r="32" spans="1:13" s="592" customFormat="1" x14ac:dyDescent="0.3">
      <c r="A32" s="589"/>
      <c r="B32" s="590"/>
      <c r="C32" s="590"/>
      <c r="D32" s="590"/>
      <c r="E32" s="590"/>
      <c r="F32" s="590"/>
      <c r="G32" s="590"/>
      <c r="H32" s="590"/>
      <c r="I32" s="593"/>
      <c r="J32" s="593"/>
      <c r="K32" s="593"/>
      <c r="L32" s="594"/>
      <c r="M32" s="595"/>
    </row>
    <row r="33" spans="1:13" s="592" customFormat="1" x14ac:dyDescent="0.3">
      <c r="A33" s="589"/>
      <c r="B33" s="590"/>
      <c r="C33" s="590"/>
      <c r="D33" s="590"/>
      <c r="E33" s="590"/>
      <c r="F33" s="590"/>
      <c r="G33" s="590"/>
      <c r="H33" s="590"/>
      <c r="I33" s="590"/>
      <c r="J33" s="590"/>
      <c r="K33" s="590"/>
      <c r="L33" s="591"/>
    </row>
    <row r="37" spans="1:13" x14ac:dyDescent="0.3">
      <c r="I37" s="596"/>
      <c r="J37" s="596"/>
      <c r="K37" s="596"/>
    </row>
    <row r="38" spans="1:13" x14ac:dyDescent="0.3">
      <c r="I38" s="597"/>
      <c r="J38" s="596"/>
      <c r="K38" s="597"/>
      <c r="M38" s="596"/>
    </row>
    <row r="41" spans="1:13" ht="22.5" customHeight="1" x14ac:dyDescent="0.3"/>
    <row r="42" spans="1:13" s="599" customFormat="1" ht="15.75" x14ac:dyDescent="0.25">
      <c r="A42" s="1106">
        <v>2025</v>
      </c>
      <c r="B42" s="1106"/>
      <c r="C42" s="1106"/>
      <c r="D42" s="1106"/>
      <c r="E42" s="1106"/>
      <c r="F42" s="1106"/>
      <c r="G42" s="1106"/>
      <c r="H42" s="1106"/>
      <c r="I42" s="1106"/>
      <c r="J42" s="1106"/>
      <c r="K42" s="1106"/>
      <c r="L42" s="1106"/>
      <c r="M42" s="1106"/>
    </row>
    <row r="43" spans="1:13" s="578" customFormat="1" ht="15" x14ac:dyDescent="0.25">
      <c r="B43" s="1110" t="s">
        <v>1098</v>
      </c>
      <c r="C43" s="1110"/>
      <c r="D43" s="1110"/>
      <c r="E43" s="1110"/>
      <c r="F43" s="1110"/>
      <c r="G43" s="1110"/>
      <c r="H43" s="1110"/>
      <c r="I43" s="1110"/>
      <c r="J43" s="1110"/>
      <c r="K43" s="1110"/>
      <c r="L43" s="1110"/>
      <c r="M43" s="1110"/>
    </row>
    <row r="44" spans="1:13" s="578" customFormat="1" ht="15" x14ac:dyDescent="0.25">
      <c r="B44" s="1110" t="s">
        <v>1099</v>
      </c>
      <c r="C44" s="1110"/>
      <c r="D44" s="1110"/>
      <c r="E44" s="1110"/>
      <c r="F44" s="1110"/>
      <c r="G44" s="1110"/>
      <c r="H44" s="1110"/>
      <c r="I44" s="1110"/>
      <c r="J44" s="1110"/>
      <c r="K44" s="1110"/>
      <c r="L44" s="1110"/>
      <c r="M44" s="1110"/>
    </row>
    <row r="45" spans="1:13" s="578" customFormat="1" ht="15" x14ac:dyDescent="0.25">
      <c r="B45" s="1110" t="s">
        <v>1100</v>
      </c>
      <c r="C45" s="1110"/>
      <c r="D45" s="1110"/>
      <c r="E45" s="1110"/>
      <c r="F45" s="1110"/>
      <c r="G45" s="1110"/>
      <c r="H45" s="1110"/>
      <c r="I45" s="1110"/>
      <c r="J45" s="1110"/>
      <c r="K45" s="1110"/>
      <c r="L45" s="1110"/>
      <c r="M45" s="1110"/>
    </row>
    <row r="46" spans="1:13" s="578" customFormat="1" ht="15" x14ac:dyDescent="0.25">
      <c r="B46" s="1110" t="s">
        <v>1101</v>
      </c>
      <c r="C46" s="1110"/>
      <c r="D46" s="1110"/>
      <c r="E46" s="1110"/>
      <c r="F46" s="1110"/>
      <c r="G46" s="1110"/>
      <c r="H46" s="1110"/>
      <c r="I46" s="1110"/>
      <c r="J46" s="1110"/>
      <c r="K46" s="1110"/>
      <c r="L46" s="1110"/>
      <c r="M46" s="1110"/>
    </row>
    <row r="47" spans="1:13" s="9" customFormat="1" ht="15" x14ac:dyDescent="0.25"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</row>
    <row r="49" spans="1:13" s="49" customFormat="1" x14ac:dyDescent="0.3">
      <c r="A49" s="580"/>
      <c r="B49" s="581"/>
      <c r="C49" s="581"/>
      <c r="D49" s="581"/>
      <c r="E49" s="581"/>
      <c r="F49" s="581"/>
      <c r="G49" s="581"/>
      <c r="H49" s="581"/>
      <c r="I49" s="581"/>
      <c r="J49" s="581"/>
      <c r="K49" s="581"/>
      <c r="L49" s="135"/>
    </row>
    <row r="51" spans="1:13" s="49" customFormat="1" x14ac:dyDescent="0.3">
      <c r="A51" s="580"/>
      <c r="B51" s="581"/>
      <c r="C51" s="581"/>
      <c r="D51" s="581"/>
      <c r="E51" s="581"/>
      <c r="F51" s="581"/>
      <c r="G51" s="581"/>
      <c r="H51" s="581"/>
      <c r="I51" s="581"/>
      <c r="J51" s="581"/>
      <c r="K51" s="581"/>
      <c r="L51" s="135"/>
    </row>
    <row r="52" spans="1:13" s="583" customFormat="1" ht="20.25" x14ac:dyDescent="0.3">
      <c r="A52" s="1103"/>
      <c r="B52" s="1103"/>
      <c r="C52" s="1103"/>
      <c r="D52" s="1103"/>
      <c r="E52" s="1103"/>
      <c r="F52" s="1103"/>
      <c r="G52" s="1103"/>
      <c r="H52" s="1103"/>
      <c r="I52" s="1103"/>
      <c r="J52" s="1103"/>
      <c r="K52" s="1103"/>
      <c r="L52" s="1103"/>
      <c r="M52" s="1103"/>
    </row>
    <row r="53" spans="1:13" s="584" customFormat="1" ht="42.75" customHeight="1" x14ac:dyDescent="0.3">
      <c r="A53" s="1111" t="s">
        <v>1092</v>
      </c>
      <c r="B53" s="1111"/>
      <c r="C53" s="1111"/>
      <c r="D53" s="1111"/>
      <c r="E53" s="1111"/>
      <c r="F53" s="1111"/>
      <c r="G53" s="1111"/>
      <c r="H53" s="1111"/>
      <c r="I53" s="1111"/>
      <c r="J53" s="1111"/>
      <c r="K53" s="1111"/>
      <c r="L53" s="1111"/>
      <c r="M53" s="1111"/>
    </row>
    <row r="54" spans="1:13" s="48" customFormat="1" x14ac:dyDescent="0.3">
      <c r="A54" s="1103" t="s">
        <v>1102</v>
      </c>
      <c r="B54" s="1103"/>
      <c r="C54" s="1103"/>
      <c r="D54" s="1103"/>
      <c r="E54" s="1103"/>
      <c r="F54" s="1103"/>
      <c r="G54" s="1103"/>
      <c r="H54" s="1103"/>
      <c r="I54" s="1103"/>
      <c r="J54" s="1103"/>
      <c r="K54" s="1103"/>
      <c r="L54" s="1103"/>
      <c r="M54" s="1103"/>
    </row>
    <row r="55" spans="1:13" s="49" customFormat="1" ht="6" customHeight="1" x14ac:dyDescent="0.3">
      <c r="A55" s="585"/>
      <c r="B55" s="585"/>
      <c r="C55" s="585"/>
      <c r="D55" s="585"/>
      <c r="E55" s="585"/>
      <c r="F55" s="585"/>
      <c r="G55" s="585"/>
      <c r="H55" s="585"/>
      <c r="I55" s="585"/>
      <c r="J55" s="585"/>
      <c r="K55" s="585"/>
      <c r="L55" s="585"/>
      <c r="M55" s="585"/>
    </row>
    <row r="56" spans="1:13" s="49" customFormat="1" ht="11.25" customHeight="1" x14ac:dyDescent="0.3">
      <c r="A56" s="586"/>
      <c r="B56" s="586"/>
      <c r="C56" s="586"/>
      <c r="D56" s="586"/>
      <c r="E56" s="586"/>
      <c r="F56" s="586"/>
      <c r="G56" s="586"/>
      <c r="H56" s="586"/>
      <c r="I56" s="586"/>
      <c r="J56" s="586"/>
      <c r="K56" s="586"/>
      <c r="L56" s="586"/>
      <c r="M56" s="586"/>
    </row>
    <row r="57" spans="1:13" s="48" customFormat="1" x14ac:dyDescent="0.3">
      <c r="A57" s="1103" t="s">
        <v>1103</v>
      </c>
      <c r="B57" s="1103"/>
      <c r="C57" s="1103"/>
      <c r="D57" s="1103"/>
      <c r="E57" s="1103"/>
      <c r="F57" s="1103"/>
      <c r="G57" s="1103"/>
      <c r="H57" s="1103"/>
      <c r="I57" s="1103"/>
      <c r="J57" s="1103"/>
      <c r="K57" s="1103"/>
      <c r="L57" s="1103"/>
      <c r="M57" s="1103"/>
    </row>
    <row r="58" spans="1:13" s="49" customFormat="1" ht="20.25" x14ac:dyDescent="0.3">
      <c r="A58" s="1102" t="s">
        <v>1096</v>
      </c>
      <c r="B58" s="1102"/>
      <c r="C58" s="1102"/>
      <c r="D58" s="1102"/>
      <c r="E58" s="1102"/>
      <c r="F58" s="1102"/>
      <c r="G58" s="1102"/>
      <c r="H58" s="1102"/>
      <c r="I58" s="1102"/>
      <c r="J58" s="1102"/>
      <c r="K58" s="1102"/>
      <c r="L58" s="1102"/>
      <c r="M58" s="1102"/>
    </row>
    <row r="59" spans="1:13" s="49" customFormat="1" x14ac:dyDescent="0.3">
      <c r="A59" s="1103" t="s">
        <v>1227</v>
      </c>
      <c r="B59" s="1103"/>
      <c r="C59" s="1103"/>
      <c r="D59" s="1103"/>
      <c r="E59" s="1103"/>
      <c r="F59" s="1103"/>
      <c r="G59" s="1103"/>
      <c r="H59" s="1103"/>
      <c r="I59" s="1103"/>
      <c r="J59" s="1103"/>
      <c r="K59" s="1103"/>
      <c r="L59" s="1103"/>
      <c r="M59" s="1103"/>
    </row>
    <row r="60" spans="1:13" s="133" customFormat="1" ht="18" customHeight="1" x14ac:dyDescent="0.25">
      <c r="A60" s="1104" t="s">
        <v>1097</v>
      </c>
      <c r="B60" s="1104"/>
      <c r="C60" s="1104"/>
      <c r="D60" s="1104"/>
      <c r="E60" s="1104"/>
      <c r="F60" s="1104"/>
      <c r="G60" s="1104"/>
      <c r="H60" s="1104"/>
      <c r="I60" s="1104"/>
      <c r="J60" s="1104"/>
      <c r="K60" s="1104"/>
      <c r="L60" s="1104"/>
      <c r="M60" s="1104"/>
    </row>
    <row r="61" spans="1:13" s="599" customFormat="1" ht="15.75" x14ac:dyDescent="0.25">
      <c r="A61" s="1105" t="s">
        <v>1228</v>
      </c>
      <c r="B61" s="1105"/>
      <c r="C61" s="1105"/>
      <c r="D61" s="1105"/>
      <c r="E61" s="1105"/>
      <c r="F61" s="1105"/>
      <c r="G61" s="1105"/>
      <c r="H61" s="1105"/>
      <c r="I61" s="1105"/>
      <c r="J61" s="1105"/>
      <c r="K61" s="1105"/>
      <c r="L61" s="1105"/>
      <c r="M61" s="1105"/>
    </row>
    <row r="64" spans="1:13" s="48" customFormat="1" x14ac:dyDescent="0.3">
      <c r="A64" s="14" t="s">
        <v>1104</v>
      </c>
      <c r="B64" s="601"/>
      <c r="C64" s="601"/>
      <c r="D64" s="601"/>
      <c r="E64" s="601"/>
      <c r="F64" s="601"/>
      <c r="G64" s="601"/>
      <c r="H64" s="601"/>
      <c r="I64" s="601"/>
      <c r="J64" s="601"/>
      <c r="K64" s="601"/>
      <c r="L64" s="602"/>
    </row>
    <row r="65" spans="1:13" s="48" customFormat="1" x14ac:dyDescent="0.3">
      <c r="A65" s="14" t="s">
        <v>1105</v>
      </c>
      <c r="B65" s="601"/>
      <c r="C65" s="601"/>
      <c r="D65" s="601"/>
      <c r="E65" s="601"/>
      <c r="F65" s="601"/>
      <c r="G65" s="601"/>
      <c r="H65" s="601"/>
      <c r="I65" s="603"/>
      <c r="J65" s="603"/>
      <c r="K65" s="1107" t="s">
        <v>1261</v>
      </c>
      <c r="L65" s="1108"/>
      <c r="M65" s="605"/>
    </row>
    <row r="66" spans="1:13" s="48" customFormat="1" x14ac:dyDescent="0.3">
      <c r="A66" s="14" t="s">
        <v>1106</v>
      </c>
      <c r="B66" s="601"/>
      <c r="C66" s="601"/>
      <c r="D66" s="601"/>
      <c r="E66" s="601"/>
      <c r="F66" s="601"/>
      <c r="G66" s="601"/>
      <c r="H66" s="601"/>
      <c r="I66" s="601"/>
      <c r="J66" s="601"/>
      <c r="K66" s="601"/>
      <c r="L66" s="602"/>
    </row>
    <row r="67" spans="1:13" s="592" customFormat="1" ht="26.25" customHeight="1" x14ac:dyDescent="0.3">
      <c r="A67" s="589"/>
      <c r="B67" s="590"/>
      <c r="C67" s="590"/>
      <c r="D67" s="590"/>
      <c r="E67" s="590"/>
      <c r="F67" s="590"/>
      <c r="G67" s="590"/>
      <c r="H67" s="590"/>
      <c r="I67" s="590"/>
      <c r="J67" s="590"/>
      <c r="K67" s="590"/>
      <c r="L67" s="591"/>
    </row>
    <row r="68" spans="1:13" x14ac:dyDescent="0.3">
      <c r="A68" s="6" t="s">
        <v>1107</v>
      </c>
    </row>
    <row r="69" spans="1:13" x14ac:dyDescent="0.3">
      <c r="A69" s="6" t="s">
        <v>1108</v>
      </c>
    </row>
    <row r="70" spans="1:13" x14ac:dyDescent="0.3">
      <c r="A70" s="6" t="s">
        <v>1109</v>
      </c>
      <c r="K70" s="597" t="s">
        <v>1110</v>
      </c>
      <c r="L70" s="606"/>
      <c r="M70" s="607"/>
    </row>
    <row r="71" spans="1:13" ht="36.75" customHeight="1" x14ac:dyDescent="0.3"/>
    <row r="72" spans="1:13" x14ac:dyDescent="0.3">
      <c r="A72" s="6" t="s">
        <v>1111</v>
      </c>
      <c r="I72" s="596"/>
      <c r="J72" s="596"/>
      <c r="K72" s="596"/>
    </row>
    <row r="73" spans="1:13" x14ac:dyDescent="0.3">
      <c r="A73" s="6" t="s">
        <v>1112</v>
      </c>
      <c r="I73" s="597"/>
      <c r="J73" s="596"/>
      <c r="K73" s="597" t="s">
        <v>1113</v>
      </c>
      <c r="M73" s="596"/>
    </row>
    <row r="82" spans="1:13" ht="24.75" customHeight="1" x14ac:dyDescent="0.3"/>
    <row r="83" spans="1:13" s="599" customFormat="1" ht="15.75" x14ac:dyDescent="0.25">
      <c r="A83" s="1106" t="s">
        <v>1114</v>
      </c>
      <c r="B83" s="1106"/>
      <c r="C83" s="1106"/>
      <c r="D83" s="1106"/>
      <c r="E83" s="1106"/>
      <c r="F83" s="1106"/>
      <c r="G83" s="1106"/>
      <c r="H83" s="1106"/>
      <c r="I83" s="1106"/>
      <c r="J83" s="1106"/>
      <c r="K83" s="1106"/>
      <c r="L83" s="1106"/>
      <c r="M83" s="1106"/>
    </row>
    <row r="84" spans="1:13" s="599" customFormat="1" ht="15.75" x14ac:dyDescent="0.25">
      <c r="A84" s="598"/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</row>
    <row r="85" spans="1:13" x14ac:dyDescent="0.3">
      <c r="A85" s="1100" t="s">
        <v>1115</v>
      </c>
      <c r="B85" s="1100"/>
      <c r="C85" s="1100"/>
      <c r="D85" s="1100"/>
      <c r="E85" s="1100"/>
      <c r="F85" s="1100"/>
      <c r="G85" s="1100"/>
      <c r="H85" s="1100"/>
      <c r="I85" s="1100"/>
      <c r="J85" s="1100"/>
      <c r="K85" s="597"/>
    </row>
    <row r="87" spans="1:13" x14ac:dyDescent="0.3">
      <c r="A87" s="6" t="s">
        <v>1116</v>
      </c>
    </row>
    <row r="88" spans="1:13" x14ac:dyDescent="0.3">
      <c r="A88" s="6" t="s">
        <v>1112</v>
      </c>
      <c r="H88" s="106" t="s">
        <v>1117</v>
      </c>
      <c r="J88" s="106" t="s">
        <v>1118</v>
      </c>
    </row>
    <row r="90" spans="1:13" x14ac:dyDescent="0.3">
      <c r="A90" s="6" t="s">
        <v>1119</v>
      </c>
    </row>
    <row r="91" spans="1:13" s="49" customFormat="1" x14ac:dyDescent="0.3">
      <c r="A91" s="6" t="s">
        <v>1112</v>
      </c>
      <c r="B91" s="581"/>
      <c r="C91" s="581"/>
      <c r="D91" s="581"/>
      <c r="E91" s="581"/>
      <c r="F91" s="581"/>
      <c r="G91" s="581"/>
      <c r="H91" s="581" t="s">
        <v>1120</v>
      </c>
      <c r="I91" s="106"/>
      <c r="J91" s="106" t="s">
        <v>1121</v>
      </c>
      <c r="K91" s="106"/>
      <c r="L91" s="135"/>
    </row>
    <row r="92" spans="1:13" x14ac:dyDescent="0.3">
      <c r="A92" s="1100"/>
      <c r="B92" s="1100"/>
      <c r="C92" s="1100"/>
      <c r="D92" s="1100"/>
      <c r="E92" s="1100"/>
      <c r="F92" s="1100"/>
      <c r="G92" s="1100"/>
      <c r="H92" s="1100"/>
      <c r="I92" s="1100"/>
      <c r="J92" s="1100"/>
      <c r="K92" s="597"/>
    </row>
    <row r="96" spans="1:13" x14ac:dyDescent="0.3">
      <c r="A96" s="1100"/>
      <c r="B96" s="1100"/>
      <c r="C96" s="1100"/>
      <c r="D96" s="1100"/>
      <c r="E96" s="1100"/>
      <c r="F96" s="1100"/>
      <c r="G96" s="1100"/>
      <c r="H96" s="1100"/>
      <c r="I96" s="1100"/>
      <c r="J96" s="1100"/>
      <c r="K96" s="597"/>
    </row>
    <row r="99" spans="1:11" x14ac:dyDescent="0.3">
      <c r="A99" s="1100"/>
      <c r="B99" s="1100"/>
      <c r="C99" s="1100"/>
      <c r="D99" s="1100"/>
      <c r="E99" s="1100"/>
      <c r="F99" s="1100"/>
      <c r="G99" s="1100"/>
      <c r="H99" s="1100"/>
      <c r="I99" s="1100"/>
      <c r="J99" s="1100"/>
      <c r="K99" s="597"/>
    </row>
    <row r="103" spans="1:11" x14ac:dyDescent="0.3">
      <c r="A103" s="1100"/>
      <c r="B103" s="1100"/>
      <c r="C103" s="1100"/>
      <c r="D103" s="1100"/>
      <c r="E103" s="1100"/>
      <c r="F103" s="1100"/>
      <c r="G103" s="1100"/>
      <c r="H103" s="1100"/>
      <c r="I103" s="1100"/>
      <c r="J103" s="1100"/>
      <c r="K103" s="597"/>
    </row>
    <row r="105" spans="1:11" x14ac:dyDescent="0.3">
      <c r="A105" s="1100"/>
      <c r="B105" s="1100"/>
      <c r="C105" s="1100"/>
      <c r="D105" s="1100"/>
      <c r="E105" s="1100"/>
      <c r="F105" s="1100"/>
      <c r="G105" s="1100"/>
      <c r="H105" s="1100"/>
      <c r="I105" s="1100"/>
      <c r="J105" s="1100"/>
      <c r="K105" s="597"/>
    </row>
    <row r="109" spans="1:11" x14ac:dyDescent="0.3">
      <c r="A109" s="1100"/>
      <c r="B109" s="1100"/>
      <c r="C109" s="1100"/>
      <c r="D109" s="1100"/>
      <c r="E109" s="1100"/>
      <c r="F109" s="1100"/>
      <c r="G109" s="1100"/>
      <c r="H109" s="1100"/>
      <c r="I109" s="1100"/>
      <c r="J109" s="1100"/>
      <c r="K109" s="597"/>
    </row>
    <row r="116" spans="1:13" x14ac:dyDescent="0.3">
      <c r="A116" s="1100"/>
      <c r="B116" s="1100"/>
      <c r="C116" s="1100"/>
      <c r="D116" s="1100"/>
      <c r="E116" s="1100"/>
      <c r="F116" s="1100"/>
      <c r="G116" s="1100"/>
      <c r="H116" s="1100"/>
      <c r="I116" s="1100"/>
      <c r="J116" s="1100"/>
      <c r="K116" s="597"/>
    </row>
    <row r="121" spans="1:13" x14ac:dyDescent="0.3">
      <c r="A121" s="1100"/>
      <c r="B121" s="1100"/>
      <c r="C121" s="1100"/>
      <c r="D121" s="1100"/>
      <c r="E121" s="1100"/>
      <c r="F121" s="1100"/>
      <c r="G121" s="1100"/>
      <c r="H121" s="1100"/>
      <c r="I121" s="1100"/>
      <c r="J121" s="1100"/>
      <c r="K121" s="597"/>
    </row>
    <row r="126" spans="1:13" x14ac:dyDescent="0.3">
      <c r="A126" s="1100"/>
      <c r="B126" s="1100"/>
      <c r="C126" s="1100"/>
      <c r="D126" s="1100"/>
      <c r="E126" s="1100"/>
      <c r="F126" s="1100"/>
      <c r="G126" s="1100"/>
      <c r="H126" s="1100"/>
      <c r="I126" s="1100"/>
      <c r="J126" s="1100"/>
      <c r="K126" s="597"/>
    </row>
    <row r="127" spans="1:13" s="144" customFormat="1" ht="15.75" x14ac:dyDescent="0.25">
      <c r="A127" s="120"/>
      <c r="B127" s="336"/>
      <c r="C127" s="336"/>
      <c r="D127" s="336" t="s">
        <v>920</v>
      </c>
      <c r="E127" s="336"/>
      <c r="F127" s="336"/>
      <c r="G127" s="336"/>
      <c r="H127" s="336"/>
      <c r="I127" s="336"/>
      <c r="J127" s="336"/>
      <c r="K127" s="336"/>
      <c r="L127" s="116"/>
    </row>
    <row r="128" spans="1:13" s="144" customFormat="1" ht="15.75" x14ac:dyDescent="0.25">
      <c r="A128" s="120"/>
      <c r="B128" s="336"/>
      <c r="C128" s="336"/>
      <c r="D128" s="336"/>
      <c r="E128" s="336"/>
      <c r="F128" s="336"/>
      <c r="G128" s="336"/>
      <c r="H128" s="336"/>
      <c r="I128" s="336"/>
      <c r="J128" s="336"/>
      <c r="K128" s="336"/>
      <c r="L128" s="116"/>
      <c r="M128" s="144" t="s">
        <v>1122</v>
      </c>
    </row>
    <row r="129" spans="1:13" s="144" customFormat="1" ht="25.5" customHeight="1" x14ac:dyDescent="0.25">
      <c r="A129" s="144" t="s">
        <v>1123</v>
      </c>
      <c r="B129" s="1101" t="s">
        <v>1124</v>
      </c>
      <c r="C129" s="1101"/>
      <c r="D129" s="1101"/>
      <c r="E129" s="1101"/>
      <c r="F129" s="1101"/>
      <c r="G129" s="1101"/>
      <c r="H129" s="1101"/>
      <c r="I129" s="1101"/>
      <c r="J129" s="1101"/>
      <c r="K129" s="1101"/>
      <c r="L129" s="1101"/>
      <c r="M129" s="144">
        <v>5</v>
      </c>
    </row>
    <row r="130" spans="1:13" s="144" customFormat="1" ht="30" customHeight="1" x14ac:dyDescent="0.25">
      <c r="A130" s="144" t="s">
        <v>1125</v>
      </c>
      <c r="B130" s="1101" t="s">
        <v>1126</v>
      </c>
      <c r="C130" s="1101"/>
      <c r="D130" s="1101"/>
      <c r="E130" s="1101"/>
      <c r="F130" s="1101"/>
      <c r="G130" s="1101"/>
      <c r="H130" s="1101"/>
      <c r="I130" s="1101"/>
      <c r="J130" s="1101"/>
      <c r="K130" s="1101"/>
      <c r="L130" s="1101"/>
      <c r="M130" s="144">
        <v>144</v>
      </c>
    </row>
    <row r="131" spans="1:13" s="144" customFormat="1" ht="30" customHeight="1" x14ac:dyDescent="0.25">
      <c r="A131" s="144" t="s">
        <v>1127</v>
      </c>
      <c r="B131" s="1101" t="s">
        <v>1128</v>
      </c>
      <c r="C131" s="1101"/>
      <c r="D131" s="1101"/>
      <c r="E131" s="1101"/>
      <c r="F131" s="1101"/>
      <c r="G131" s="1101"/>
      <c r="H131" s="1101"/>
      <c r="I131" s="1101"/>
      <c r="J131" s="1101"/>
      <c r="K131" s="1101"/>
      <c r="L131" s="1101"/>
      <c r="M131" s="144">
        <v>237</v>
      </c>
    </row>
    <row r="132" spans="1:13" s="134" customFormat="1" ht="10.5" customHeight="1" x14ac:dyDescent="0.25">
      <c r="A132" s="610"/>
      <c r="B132" s="214"/>
      <c r="C132" s="214"/>
      <c r="D132" s="214"/>
      <c r="E132" s="214"/>
      <c r="F132" s="214"/>
      <c r="G132" s="214"/>
      <c r="H132" s="214"/>
      <c r="I132" s="214"/>
      <c r="J132" s="609"/>
      <c r="K132" s="609"/>
      <c r="L132" s="609"/>
    </row>
    <row r="133" spans="1:13" s="134" customFormat="1" ht="33" customHeight="1" x14ac:dyDescent="0.25">
      <c r="A133" s="1099"/>
      <c r="B133" s="1099"/>
      <c r="C133" s="1099"/>
      <c r="D133" s="1099"/>
      <c r="E133" s="1099"/>
      <c r="F133" s="1099"/>
      <c r="G133" s="1099"/>
      <c r="H133" s="1099"/>
      <c r="I133" s="1099"/>
      <c r="J133" s="609"/>
      <c r="K133" s="609"/>
      <c r="L133" s="609"/>
    </row>
    <row r="134" spans="1:13" x14ac:dyDescent="0.3">
      <c r="A134" s="608"/>
      <c r="B134" s="597"/>
      <c r="C134" s="597"/>
      <c r="D134" s="597"/>
      <c r="E134" s="597"/>
      <c r="F134" s="597"/>
      <c r="G134" s="597"/>
      <c r="H134" s="597"/>
      <c r="I134" s="597"/>
      <c r="J134" s="597"/>
      <c r="K134" s="597"/>
    </row>
    <row r="135" spans="1:13" x14ac:dyDescent="0.3">
      <c r="A135" s="608"/>
      <c r="B135" s="597"/>
      <c r="C135" s="597"/>
      <c r="D135" s="597"/>
      <c r="E135" s="597"/>
      <c r="F135" s="597"/>
      <c r="G135" s="597"/>
      <c r="H135" s="597"/>
      <c r="I135" s="597"/>
      <c r="J135" s="597"/>
      <c r="K135" s="597"/>
    </row>
    <row r="152" spans="1:11" x14ac:dyDescent="0.3">
      <c r="A152" s="608"/>
      <c r="B152" s="597"/>
      <c r="C152" s="597"/>
      <c r="D152" s="597"/>
      <c r="E152" s="597"/>
      <c r="F152" s="597"/>
      <c r="G152" s="597"/>
      <c r="H152" s="597"/>
      <c r="I152" s="597"/>
      <c r="J152" s="597"/>
      <c r="K152" s="596"/>
    </row>
    <row r="153" spans="1:11" x14ac:dyDescent="0.3">
      <c r="K153" s="596"/>
    </row>
    <row r="155" spans="1:11" x14ac:dyDescent="0.3">
      <c r="K155" s="596"/>
    </row>
    <row r="157" spans="1:11" x14ac:dyDescent="0.3">
      <c r="K157" s="596"/>
    </row>
    <row r="159" spans="1:11" x14ac:dyDescent="0.3">
      <c r="K159" s="596"/>
    </row>
    <row r="161" spans="11:11" x14ac:dyDescent="0.3">
      <c r="K161" s="596"/>
    </row>
  </sheetData>
  <mergeCells count="44">
    <mergeCell ref="A22:M22"/>
    <mergeCell ref="B1:M1"/>
    <mergeCell ref="B2:M2"/>
    <mergeCell ref="B3:M3"/>
    <mergeCell ref="B4:M4"/>
    <mergeCell ref="B5:L5"/>
    <mergeCell ref="B12:L12"/>
    <mergeCell ref="A13:M13"/>
    <mergeCell ref="A14:M14"/>
    <mergeCell ref="B16:L16"/>
    <mergeCell ref="A18:M18"/>
    <mergeCell ref="B20:L20"/>
    <mergeCell ref="A57:M57"/>
    <mergeCell ref="A24:M24"/>
    <mergeCell ref="A25:M25"/>
    <mergeCell ref="A26:M26"/>
    <mergeCell ref="A42:M42"/>
    <mergeCell ref="B43:M43"/>
    <mergeCell ref="B44:M44"/>
    <mergeCell ref="B45:M45"/>
    <mergeCell ref="B46:M46"/>
    <mergeCell ref="A52:M52"/>
    <mergeCell ref="A53:M53"/>
    <mergeCell ref="A54:M54"/>
    <mergeCell ref="A109:J109"/>
    <mergeCell ref="A58:M58"/>
    <mergeCell ref="A59:M59"/>
    <mergeCell ref="A60:M60"/>
    <mergeCell ref="A61:M61"/>
    <mergeCell ref="A83:M83"/>
    <mergeCell ref="A85:J85"/>
    <mergeCell ref="A92:J92"/>
    <mergeCell ref="A96:J96"/>
    <mergeCell ref="A99:J99"/>
    <mergeCell ref="A103:J103"/>
    <mergeCell ref="A105:J105"/>
    <mergeCell ref="K65:L65"/>
    <mergeCell ref="A133:I133"/>
    <mergeCell ref="A116:J116"/>
    <mergeCell ref="A121:J121"/>
    <mergeCell ref="A126:J126"/>
    <mergeCell ref="B129:L129"/>
    <mergeCell ref="B130:L130"/>
    <mergeCell ref="B131:L131"/>
  </mergeCells>
  <pageMargins left="0.78740157480314965" right="0.59055118110236227" top="0.59055118110236227" bottom="0.59055118110236227" header="0.31496062992125984" footer="0.31496062992125984"/>
  <pageSetup paperSize="9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CorelDraw.Graphic.12" shapeId="21505" r:id="rId4">
          <objectPr defaultSize="0" autoPict="0" r:id="rId5">
            <anchor moveWithCells="1" sizeWithCells="1">
              <from>
                <xdr:col>0</xdr:col>
                <xdr:colOff>19050</xdr:colOff>
                <xdr:row>41</xdr:row>
                <xdr:rowOff>200025</xdr:rowOff>
              </from>
              <to>
                <xdr:col>2</xdr:col>
                <xdr:colOff>95250</xdr:colOff>
                <xdr:row>46</xdr:row>
                <xdr:rowOff>76200</xdr:rowOff>
              </to>
            </anchor>
          </objectPr>
        </oleObject>
      </mc:Choice>
      <mc:Fallback>
        <oleObject progId="CorelDraw.Graphic.12" shapeId="2150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FFF54-8130-43A8-8B91-8954F98BFE18}">
  <sheetPr>
    <tabColor theme="0"/>
  </sheetPr>
  <dimension ref="A1:T480"/>
  <sheetViews>
    <sheetView view="pageBreakPreview" topLeftCell="A424" zoomScale="85" zoomScaleNormal="100" zoomScaleSheetLayoutView="85" workbookViewId="0">
      <selection activeCell="O424" sqref="O1:Q1048576"/>
    </sheetView>
  </sheetViews>
  <sheetFormatPr defaultRowHeight="15" x14ac:dyDescent="0.25"/>
  <cols>
    <col min="1" max="1" width="6.42578125" style="47" customWidth="1"/>
    <col min="2" max="2" width="20.85546875" style="47" customWidth="1"/>
    <col min="3" max="3" width="10" style="47" customWidth="1"/>
    <col min="4" max="4" width="6.7109375" style="47" customWidth="1"/>
    <col min="5" max="5" width="7.5703125" style="47" customWidth="1"/>
    <col min="6" max="6" width="6.28515625" style="47" customWidth="1"/>
    <col min="7" max="8" width="8.5703125" style="47" customWidth="1"/>
    <col min="9" max="9" width="8" style="47" customWidth="1"/>
    <col min="10" max="10" width="7.7109375" style="47" customWidth="1"/>
    <col min="11" max="11" width="22.140625" style="61" customWidth="1"/>
    <col min="12" max="12" width="6.140625" style="47" customWidth="1"/>
    <col min="13" max="13" width="10.42578125" style="47" customWidth="1"/>
    <col min="14" max="14" width="9" style="47" customWidth="1"/>
    <col min="15" max="15" width="11.7109375" style="48" customWidth="1"/>
    <col min="16" max="16" width="9" style="48" customWidth="1"/>
    <col min="17" max="17" width="9.140625" style="48"/>
    <col min="18" max="16384" width="9.140625" style="47"/>
  </cols>
  <sheetData>
    <row r="1" spans="1:17" s="353" customFormat="1" ht="17.25" customHeight="1" x14ac:dyDescent="0.25">
      <c r="A1" s="1407" t="s">
        <v>962</v>
      </c>
      <c r="B1" s="1407"/>
      <c r="C1" s="1407"/>
      <c r="D1" s="1407"/>
      <c r="E1" s="1407"/>
      <c r="F1" s="1407"/>
      <c r="G1" s="1407"/>
      <c r="H1" s="1407"/>
      <c r="I1" s="1407"/>
      <c r="J1" s="1407"/>
      <c r="K1" s="1407"/>
      <c r="L1" s="1407"/>
      <c r="M1" s="1407"/>
      <c r="N1" s="1407"/>
      <c r="O1" s="898"/>
      <c r="P1" s="898"/>
      <c r="Q1" s="741"/>
    </row>
    <row r="2" spans="1:17" s="353" customFormat="1" x14ac:dyDescent="0.25">
      <c r="O2" s="741"/>
      <c r="P2" s="741"/>
      <c r="Q2" s="741"/>
    </row>
    <row r="3" spans="1:17" s="353" customFormat="1" ht="18.75" customHeight="1" x14ac:dyDescent="0.25">
      <c r="A3" s="1339" t="s">
        <v>791</v>
      </c>
      <c r="B3" s="1339"/>
      <c r="C3" s="1339"/>
      <c r="D3" s="1339"/>
      <c r="E3" s="1339"/>
      <c r="F3" s="1339"/>
      <c r="G3" s="1339"/>
      <c r="H3" s="1339"/>
      <c r="I3" s="1339"/>
      <c r="J3" s="1339"/>
      <c r="K3" s="1339"/>
      <c r="L3" s="1339"/>
      <c r="M3" s="1339"/>
      <c r="N3" s="1339"/>
      <c r="O3" s="898"/>
      <c r="P3" s="898"/>
      <c r="Q3" s="741"/>
    </row>
    <row r="4" spans="1:17" s="353" customFormat="1" ht="39.75" customHeight="1" x14ac:dyDescent="0.25">
      <c r="A4" s="1339" t="s">
        <v>792</v>
      </c>
      <c r="B4" s="1339"/>
      <c r="C4" s="1339"/>
      <c r="D4" s="1339"/>
      <c r="E4" s="1339"/>
      <c r="F4" s="1339"/>
      <c r="G4" s="1339"/>
      <c r="H4" s="1339"/>
      <c r="I4" s="1339"/>
      <c r="J4" s="1339"/>
      <c r="K4" s="1339"/>
      <c r="L4" s="1339"/>
      <c r="M4" s="1339"/>
      <c r="N4" s="1339"/>
      <c r="O4" s="898"/>
      <c r="P4" s="898"/>
      <c r="Q4" s="741"/>
    </row>
    <row r="5" spans="1:17" s="353" customFormat="1" x14ac:dyDescent="0.25">
      <c r="O5" s="741"/>
      <c r="P5" s="741"/>
      <c r="Q5" s="741"/>
    </row>
    <row r="6" spans="1:17" s="354" customFormat="1" ht="36" customHeight="1" x14ac:dyDescent="0.3">
      <c r="A6" s="1340" t="s">
        <v>784</v>
      </c>
      <c r="B6" s="1340"/>
      <c r="C6" s="1340"/>
      <c r="D6" s="1340"/>
      <c r="E6" s="1340"/>
      <c r="F6" s="1340"/>
      <c r="G6" s="1340"/>
      <c r="H6" s="1340"/>
      <c r="I6" s="1340"/>
      <c r="J6" s="1340"/>
      <c r="K6" s="1340"/>
      <c r="L6" s="1340"/>
      <c r="M6" s="1340"/>
      <c r="N6" s="1340"/>
      <c r="O6" s="899"/>
      <c r="P6" s="899"/>
      <c r="Q6" s="741"/>
    </row>
    <row r="7" spans="1:17" s="353" customFormat="1" ht="21" customHeight="1" x14ac:dyDescent="0.25">
      <c r="A7" s="1341" t="s">
        <v>801</v>
      </c>
      <c r="B7" s="1341"/>
      <c r="C7" s="1341"/>
      <c r="D7" s="1341"/>
      <c r="E7" s="1341"/>
      <c r="F7" s="1341"/>
      <c r="G7" s="1341"/>
      <c r="H7" s="1341"/>
      <c r="I7" s="1341"/>
      <c r="J7" s="1341"/>
      <c r="K7" s="1341"/>
      <c r="L7" s="1341"/>
      <c r="M7" s="1341"/>
      <c r="N7" s="1341"/>
      <c r="O7" s="898"/>
      <c r="P7" s="898"/>
      <c r="Q7" s="741"/>
    </row>
    <row r="8" spans="1:17" s="70" customFormat="1" ht="12" customHeight="1" x14ac:dyDescent="0.25">
      <c r="A8" s="69" t="s">
        <v>744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741"/>
      <c r="P8" s="741"/>
      <c r="Q8" s="741"/>
    </row>
    <row r="9" spans="1:17" s="70" customFormat="1" ht="16.5" customHeight="1" x14ac:dyDescent="0.25">
      <c r="A9" s="1343" t="s">
        <v>795</v>
      </c>
      <c r="B9" s="1343"/>
      <c r="C9" s="1343"/>
      <c r="D9" s="1343"/>
      <c r="E9" s="1343"/>
      <c r="F9" s="1343"/>
      <c r="G9" s="1343"/>
      <c r="H9" s="1343"/>
      <c r="I9" s="1343"/>
      <c r="J9" s="1343"/>
      <c r="K9" s="1343"/>
      <c r="L9" s="1343"/>
      <c r="M9" s="1343"/>
      <c r="N9" s="1343"/>
      <c r="O9" s="898"/>
      <c r="P9" s="898"/>
      <c r="Q9" s="741"/>
    </row>
    <row r="10" spans="1:17" s="70" customFormat="1" ht="18.75" x14ac:dyDescent="0.25">
      <c r="A10" s="1343" t="s">
        <v>796</v>
      </c>
      <c r="B10" s="1343"/>
      <c r="C10" s="1343"/>
      <c r="D10" s="1343"/>
      <c r="E10" s="1343"/>
      <c r="F10" s="1343"/>
      <c r="G10" s="1343"/>
      <c r="H10" s="1343"/>
      <c r="I10" s="1343"/>
      <c r="J10" s="1343"/>
      <c r="K10" s="1343"/>
      <c r="L10" s="1343"/>
      <c r="M10" s="1343"/>
      <c r="N10" s="1343"/>
      <c r="O10" s="898"/>
      <c r="P10" s="898"/>
      <c r="Q10" s="741"/>
    </row>
    <row r="11" spans="1:17" s="70" customFormat="1" ht="15.75" x14ac:dyDescent="0.25">
      <c r="A11" s="1343" t="s">
        <v>794</v>
      </c>
      <c r="B11" s="1343"/>
      <c r="C11" s="1343"/>
      <c r="D11" s="1343"/>
      <c r="E11" s="1343"/>
      <c r="F11" s="1343"/>
      <c r="G11" s="1343"/>
      <c r="H11" s="1343"/>
      <c r="I11" s="1343"/>
      <c r="J11" s="1343"/>
      <c r="K11" s="1343"/>
      <c r="L11" s="1343"/>
      <c r="M11" s="1343"/>
      <c r="N11" s="1343"/>
      <c r="O11" s="898"/>
      <c r="P11" s="898"/>
      <c r="Q11" s="741"/>
    </row>
    <row r="12" spans="1:17" s="70" customFormat="1" ht="15.75" x14ac:dyDescent="0.25">
      <c r="A12" s="1343" t="s">
        <v>799</v>
      </c>
      <c r="B12" s="1343"/>
      <c r="C12" s="1343"/>
      <c r="D12" s="1343"/>
      <c r="E12" s="1343"/>
      <c r="F12" s="1343"/>
      <c r="G12" s="1343"/>
      <c r="H12" s="1343"/>
      <c r="I12" s="1343"/>
      <c r="J12" s="1343"/>
      <c r="K12" s="1343"/>
      <c r="L12" s="1343"/>
      <c r="M12" s="1343"/>
      <c r="N12" s="1343"/>
      <c r="O12" s="898"/>
      <c r="P12" s="898"/>
      <c r="Q12" s="741"/>
    </row>
    <row r="13" spans="1:17" s="353" customFormat="1" ht="9" customHeight="1" x14ac:dyDescent="0.25">
      <c r="O13" s="741"/>
      <c r="P13" s="741"/>
      <c r="Q13" s="741"/>
    </row>
    <row r="14" spans="1:17" s="353" customFormat="1" ht="33" customHeight="1" x14ac:dyDescent="0.25">
      <c r="A14" s="1340" t="s">
        <v>785</v>
      </c>
      <c r="B14" s="1340"/>
      <c r="C14" s="1340"/>
      <c r="D14" s="1340"/>
      <c r="E14" s="1340"/>
      <c r="F14" s="1340"/>
      <c r="G14" s="1340"/>
      <c r="H14" s="1340"/>
      <c r="I14" s="1340"/>
      <c r="J14" s="1340"/>
      <c r="K14" s="1340"/>
      <c r="L14" s="1340"/>
      <c r="M14" s="1340"/>
      <c r="N14" s="1340"/>
      <c r="O14" s="899"/>
      <c r="P14" s="899"/>
      <c r="Q14" s="741"/>
    </row>
    <row r="15" spans="1:17" s="353" customFormat="1" ht="22.5" x14ac:dyDescent="0.35">
      <c r="A15" s="1342" t="s">
        <v>800</v>
      </c>
      <c r="B15" s="1342"/>
      <c r="C15" s="1342"/>
      <c r="D15" s="1342"/>
      <c r="E15" s="1342"/>
      <c r="F15" s="1342"/>
      <c r="G15" s="1342"/>
      <c r="H15" s="1342"/>
      <c r="I15" s="1342"/>
      <c r="J15" s="1342"/>
      <c r="K15" s="1342"/>
      <c r="L15" s="1342"/>
      <c r="M15" s="1342"/>
      <c r="N15" s="1342"/>
      <c r="O15" s="741"/>
      <c r="P15" s="741"/>
      <c r="Q15" s="741"/>
    </row>
    <row r="16" spans="1:17" s="70" customFormat="1" ht="15.75" x14ac:dyDescent="0.25">
      <c r="A16" s="69" t="s">
        <v>744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741"/>
      <c r="P16" s="741"/>
      <c r="Q16" s="741"/>
    </row>
    <row r="17" spans="1:17" s="70" customFormat="1" ht="31.5" customHeight="1" x14ac:dyDescent="0.25">
      <c r="A17" s="1339" t="s">
        <v>793</v>
      </c>
      <c r="B17" s="1339"/>
      <c r="C17" s="1339"/>
      <c r="D17" s="1339"/>
      <c r="E17" s="1339"/>
      <c r="F17" s="1339"/>
      <c r="G17" s="1339"/>
      <c r="H17" s="1339"/>
      <c r="I17" s="1339"/>
      <c r="J17" s="1339"/>
      <c r="K17" s="1339"/>
      <c r="L17" s="1339"/>
      <c r="M17" s="1339"/>
      <c r="N17" s="1339"/>
      <c r="O17" s="898"/>
      <c r="P17" s="898"/>
      <c r="Q17" s="741"/>
    </row>
    <row r="18" spans="1:17" s="353" customFormat="1" x14ac:dyDescent="0.25">
      <c r="O18" s="741"/>
      <c r="P18" s="741"/>
      <c r="Q18" s="741"/>
    </row>
    <row r="19" spans="1:17" s="354" customFormat="1" ht="18.75" x14ac:dyDescent="0.3">
      <c r="A19" s="1344" t="s">
        <v>786</v>
      </c>
      <c r="B19" s="1344"/>
      <c r="C19" s="1344"/>
      <c r="D19" s="1344"/>
      <c r="E19" s="1344"/>
      <c r="F19" s="1344"/>
      <c r="G19" s="1344"/>
      <c r="H19" s="1344"/>
      <c r="I19" s="1344"/>
      <c r="J19" s="1344"/>
      <c r="K19" s="1344"/>
      <c r="L19" s="1344"/>
      <c r="M19" s="1344"/>
      <c r="N19" s="1344"/>
      <c r="O19" s="898"/>
      <c r="P19" s="898"/>
      <c r="Q19" s="741"/>
    </row>
    <row r="20" spans="1:17" s="354" customFormat="1" ht="21.75" x14ac:dyDescent="0.3">
      <c r="A20" s="1341" t="s">
        <v>802</v>
      </c>
      <c r="B20" s="1341"/>
      <c r="C20" s="1341"/>
      <c r="D20" s="1341"/>
      <c r="E20" s="1341"/>
      <c r="F20" s="1341"/>
      <c r="G20" s="1341"/>
      <c r="H20" s="1341"/>
      <c r="I20" s="1341"/>
      <c r="J20" s="1341"/>
      <c r="K20" s="1341"/>
      <c r="L20" s="1341"/>
      <c r="M20" s="1341"/>
      <c r="N20" s="1341"/>
      <c r="O20" s="898"/>
      <c r="P20" s="898"/>
      <c r="Q20" s="741"/>
    </row>
    <row r="21" spans="1:17" s="70" customFormat="1" ht="15.75" x14ac:dyDescent="0.25">
      <c r="A21" s="69" t="s">
        <v>744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741"/>
      <c r="P21" s="741"/>
      <c r="Q21" s="741"/>
    </row>
    <row r="22" spans="1:17" s="70" customFormat="1" ht="16.5" customHeight="1" x14ac:dyDescent="0.25">
      <c r="A22" s="1343" t="s">
        <v>803</v>
      </c>
      <c r="B22" s="1343"/>
      <c r="C22" s="1343"/>
      <c r="D22" s="1343"/>
      <c r="E22" s="1343"/>
      <c r="F22" s="1343"/>
      <c r="G22" s="1343"/>
      <c r="H22" s="1343"/>
      <c r="I22" s="1343"/>
      <c r="J22" s="1343"/>
      <c r="K22" s="1343"/>
      <c r="L22" s="1343"/>
      <c r="M22" s="1343"/>
      <c r="N22" s="1343"/>
      <c r="O22" s="898"/>
      <c r="P22" s="898"/>
      <c r="Q22" s="741"/>
    </row>
    <row r="23" spans="1:17" s="70" customFormat="1" ht="15.75" x14ac:dyDescent="0.25">
      <c r="A23" s="1343" t="s">
        <v>804</v>
      </c>
      <c r="B23" s="1343"/>
      <c r="C23" s="1343"/>
      <c r="D23" s="1343"/>
      <c r="E23" s="1343"/>
      <c r="F23" s="1343"/>
      <c r="G23" s="1343"/>
      <c r="H23" s="1343"/>
      <c r="I23" s="1343"/>
      <c r="J23" s="1343"/>
      <c r="K23" s="1343"/>
      <c r="L23" s="1343"/>
      <c r="M23" s="1343"/>
      <c r="N23" s="1343"/>
      <c r="O23" s="898"/>
      <c r="P23" s="898"/>
      <c r="Q23" s="741"/>
    </row>
    <row r="24" spans="1:17" s="353" customFormat="1" x14ac:dyDescent="0.25">
      <c r="O24" s="741"/>
      <c r="P24" s="741"/>
      <c r="Q24" s="741"/>
    </row>
    <row r="25" spans="1:17" s="354" customFormat="1" ht="18.75" x14ac:dyDescent="0.3">
      <c r="A25" s="1344" t="s">
        <v>807</v>
      </c>
      <c r="B25" s="1344"/>
      <c r="C25" s="1344"/>
      <c r="D25" s="1344"/>
      <c r="E25" s="1344"/>
      <c r="F25" s="1344"/>
      <c r="G25" s="1344"/>
      <c r="H25" s="1344"/>
      <c r="I25" s="1344"/>
      <c r="J25" s="1344"/>
      <c r="K25" s="1344"/>
      <c r="L25" s="1344"/>
      <c r="M25" s="1344"/>
      <c r="N25" s="1344"/>
      <c r="O25" s="898"/>
      <c r="P25" s="898"/>
      <c r="Q25" s="741"/>
    </row>
    <row r="26" spans="1:17" s="354" customFormat="1" ht="21.75" x14ac:dyDescent="0.3">
      <c r="A26" s="1341" t="s">
        <v>805</v>
      </c>
      <c r="B26" s="1341"/>
      <c r="C26" s="1341"/>
      <c r="D26" s="1341"/>
      <c r="E26" s="1341"/>
      <c r="F26" s="1341"/>
      <c r="G26" s="1341"/>
      <c r="H26" s="1341"/>
      <c r="I26" s="1341"/>
      <c r="J26" s="1341"/>
      <c r="K26" s="1341"/>
      <c r="L26" s="1341"/>
      <c r="M26" s="1341"/>
      <c r="N26" s="1341"/>
      <c r="O26" s="898"/>
      <c r="P26" s="898"/>
      <c r="Q26" s="741"/>
    </row>
    <row r="27" spans="1:17" s="70" customFormat="1" ht="15.75" x14ac:dyDescent="0.25">
      <c r="A27" s="69" t="s">
        <v>744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741"/>
      <c r="P27" s="741"/>
      <c r="Q27" s="741"/>
    </row>
    <row r="28" spans="1:17" s="70" customFormat="1" ht="16.5" customHeight="1" x14ac:dyDescent="0.25">
      <c r="A28" s="1343" t="s">
        <v>806</v>
      </c>
      <c r="B28" s="1343"/>
      <c r="C28" s="1343"/>
      <c r="D28" s="1343"/>
      <c r="E28" s="1343"/>
      <c r="F28" s="1343"/>
      <c r="G28" s="1343"/>
      <c r="H28" s="1343"/>
      <c r="I28" s="1343"/>
      <c r="J28" s="1343"/>
      <c r="K28" s="1343"/>
      <c r="L28" s="1343"/>
      <c r="M28" s="1343"/>
      <c r="N28" s="1343"/>
      <c r="O28" s="898"/>
      <c r="P28" s="898"/>
      <c r="Q28" s="741"/>
    </row>
    <row r="29" spans="1:17" s="70" customFormat="1" ht="9.75" customHeight="1" x14ac:dyDescent="0.25">
      <c r="A29" s="355"/>
      <c r="B29" s="355"/>
      <c r="C29" s="355"/>
      <c r="D29" s="355"/>
      <c r="E29" s="355"/>
      <c r="F29" s="355"/>
      <c r="G29" s="355"/>
      <c r="H29" s="355"/>
      <c r="I29" s="355"/>
      <c r="J29" s="355"/>
      <c r="K29" s="355"/>
      <c r="L29" s="355"/>
      <c r="M29" s="355"/>
      <c r="N29" s="355"/>
      <c r="O29" s="898"/>
      <c r="P29" s="898"/>
      <c r="Q29" s="741"/>
    </row>
    <row r="30" spans="1:17" s="354" customFormat="1" ht="18.75" x14ac:dyDescent="0.3">
      <c r="A30" s="1344" t="s">
        <v>787</v>
      </c>
      <c r="B30" s="1344"/>
      <c r="C30" s="1344"/>
      <c r="D30" s="1344"/>
      <c r="E30" s="1344"/>
      <c r="F30" s="1344"/>
      <c r="G30" s="1344"/>
      <c r="H30" s="1344"/>
      <c r="I30" s="1344"/>
      <c r="J30" s="1344"/>
      <c r="K30" s="1344"/>
      <c r="L30" s="1344"/>
      <c r="M30" s="1344"/>
      <c r="N30" s="1344"/>
      <c r="O30" s="1344"/>
      <c r="P30" s="1344"/>
      <c r="Q30" s="741"/>
    </row>
    <row r="31" spans="1:17" s="354" customFormat="1" ht="28.5" customHeight="1" x14ac:dyDescent="0.3">
      <c r="A31" s="1341" t="s">
        <v>808</v>
      </c>
      <c r="B31" s="1341"/>
      <c r="C31" s="1341"/>
      <c r="D31" s="1341"/>
      <c r="E31" s="1341"/>
      <c r="F31" s="1341"/>
      <c r="G31" s="1341"/>
      <c r="H31" s="1341"/>
      <c r="I31" s="1341"/>
      <c r="J31" s="1341"/>
      <c r="K31" s="1341"/>
      <c r="L31" s="1341"/>
      <c r="M31" s="1341"/>
      <c r="N31" s="1341"/>
      <c r="O31" s="898"/>
      <c r="P31" s="898"/>
      <c r="Q31" s="741"/>
    </row>
    <row r="32" spans="1:17" s="353" customFormat="1" ht="15.75" x14ac:dyDescent="0.25">
      <c r="A32" s="1345" t="s">
        <v>797</v>
      </c>
      <c r="B32" s="1345"/>
      <c r="C32" s="1345"/>
      <c r="D32" s="1345"/>
      <c r="E32" s="1345"/>
      <c r="F32" s="1345"/>
      <c r="G32" s="1345"/>
      <c r="H32" s="1345"/>
      <c r="I32" s="1345"/>
      <c r="J32" s="1345"/>
      <c r="K32" s="1345"/>
      <c r="L32" s="1345"/>
      <c r="M32" s="1345"/>
      <c r="N32" s="1345"/>
      <c r="O32" s="1345"/>
      <c r="P32" s="1345"/>
      <c r="Q32" s="741"/>
    </row>
    <row r="33" spans="1:17" s="353" customFormat="1" x14ac:dyDescent="0.25">
      <c r="O33" s="741"/>
      <c r="P33" s="741"/>
      <c r="Q33" s="741"/>
    </row>
    <row r="34" spans="1:17" s="353" customFormat="1" ht="15.75" x14ac:dyDescent="0.25">
      <c r="A34" s="1343" t="s">
        <v>788</v>
      </c>
      <c r="B34" s="1343"/>
      <c r="C34" s="1343"/>
      <c r="D34" s="1343"/>
      <c r="E34" s="1343"/>
      <c r="F34" s="1343"/>
      <c r="G34" s="1343"/>
      <c r="H34" s="1343"/>
      <c r="I34" s="1343"/>
      <c r="J34" s="1343"/>
      <c r="K34" s="1343"/>
      <c r="L34" s="1343"/>
      <c r="M34" s="1343"/>
      <c r="N34" s="1343"/>
      <c r="O34" s="1343"/>
      <c r="P34" s="1343"/>
      <c r="Q34" s="741"/>
    </row>
    <row r="35" spans="1:17" s="353" customFormat="1" ht="18.75" x14ac:dyDescent="0.25">
      <c r="A35" s="1346" t="s">
        <v>798</v>
      </c>
      <c r="B35" s="1346"/>
      <c r="C35" s="1346"/>
      <c r="D35" s="1346"/>
      <c r="E35" s="1346"/>
      <c r="F35" s="1346"/>
      <c r="G35" s="1346"/>
      <c r="H35" s="1346"/>
      <c r="I35" s="1346"/>
      <c r="J35" s="1346"/>
      <c r="K35" s="1346"/>
      <c r="L35" s="1346"/>
      <c r="M35" s="1346"/>
      <c r="N35" s="1346"/>
      <c r="O35" s="898"/>
      <c r="P35" s="898"/>
      <c r="Q35" s="741"/>
    </row>
    <row r="36" spans="1:17" s="70" customFormat="1" ht="15.75" x14ac:dyDescent="0.25">
      <c r="A36" s="69" t="s">
        <v>744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741"/>
      <c r="P36" s="741"/>
      <c r="Q36" s="741"/>
    </row>
    <row r="37" spans="1:17" s="70" customFormat="1" ht="16.5" customHeight="1" x14ac:dyDescent="0.25">
      <c r="A37" s="1343" t="s">
        <v>809</v>
      </c>
      <c r="B37" s="1343"/>
      <c r="C37" s="1343"/>
      <c r="D37" s="1343"/>
      <c r="E37" s="1343"/>
      <c r="F37" s="1343"/>
      <c r="G37" s="1343"/>
      <c r="H37" s="1343"/>
      <c r="I37" s="1343"/>
      <c r="J37" s="1343"/>
      <c r="K37" s="1343"/>
      <c r="L37" s="1343"/>
      <c r="M37" s="1343"/>
      <c r="N37" s="1343"/>
      <c r="O37" s="898"/>
      <c r="P37" s="898"/>
      <c r="Q37" s="741"/>
    </row>
    <row r="38" spans="1:17" s="353" customFormat="1" x14ac:dyDescent="0.25">
      <c r="O38" s="741"/>
      <c r="P38" s="741"/>
      <c r="Q38" s="741"/>
    </row>
    <row r="39" spans="1:17" s="353" customFormat="1" ht="15.75" x14ac:dyDescent="0.25">
      <c r="A39" s="1343" t="s">
        <v>789</v>
      </c>
      <c r="B39" s="1343"/>
      <c r="C39" s="1343"/>
      <c r="D39" s="1343"/>
      <c r="E39" s="1343"/>
      <c r="F39" s="1343"/>
      <c r="G39" s="1343"/>
      <c r="H39" s="1343"/>
      <c r="I39" s="1343"/>
      <c r="J39" s="1343"/>
      <c r="K39" s="1343"/>
      <c r="L39" s="1343"/>
      <c r="M39" s="1343"/>
      <c r="N39" s="1343"/>
      <c r="O39" s="898"/>
      <c r="P39" s="898"/>
      <c r="Q39" s="741"/>
    </row>
    <row r="40" spans="1:17" s="354" customFormat="1" ht="21.75" x14ac:dyDescent="0.3">
      <c r="A40" s="1341" t="s">
        <v>810</v>
      </c>
      <c r="B40" s="1341"/>
      <c r="C40" s="1341"/>
      <c r="D40" s="1341"/>
      <c r="E40" s="1341"/>
      <c r="F40" s="1341"/>
      <c r="G40" s="1341"/>
      <c r="H40" s="1341"/>
      <c r="I40" s="1341"/>
      <c r="J40" s="1341"/>
      <c r="K40" s="1341"/>
      <c r="L40" s="1341"/>
      <c r="M40" s="1341"/>
      <c r="N40" s="1341"/>
      <c r="O40" s="898"/>
      <c r="P40" s="898"/>
      <c r="Q40" s="741"/>
    </row>
    <row r="41" spans="1:17" s="354" customFormat="1" ht="6.75" customHeight="1" x14ac:dyDescent="0.3">
      <c r="A41" s="352"/>
      <c r="B41" s="352"/>
      <c r="C41" s="352"/>
      <c r="D41" s="352"/>
      <c r="E41" s="352"/>
      <c r="F41" s="352"/>
      <c r="G41" s="352"/>
      <c r="H41" s="352"/>
      <c r="I41" s="352"/>
      <c r="J41" s="352"/>
      <c r="K41" s="352"/>
      <c r="L41" s="352"/>
      <c r="M41" s="352"/>
      <c r="N41" s="352"/>
      <c r="O41" s="898"/>
      <c r="P41" s="898"/>
      <c r="Q41" s="741"/>
    </row>
    <row r="42" spans="1:17" s="61" customFormat="1" ht="18.75" x14ac:dyDescent="0.25">
      <c r="A42" s="1338" t="s">
        <v>811</v>
      </c>
      <c r="B42" s="1338"/>
      <c r="C42" s="1338"/>
      <c r="D42" s="1338"/>
      <c r="E42" s="1338"/>
      <c r="F42" s="1338"/>
      <c r="G42" s="1338"/>
      <c r="H42" s="1338"/>
      <c r="I42" s="1338"/>
      <c r="J42" s="1338"/>
      <c r="K42" s="1338"/>
      <c r="L42" s="1338"/>
      <c r="M42" s="1338"/>
      <c r="N42" s="1338"/>
      <c r="O42" s="1338"/>
      <c r="P42" s="863"/>
      <c r="Q42" s="863"/>
    </row>
    <row r="43" spans="1:17" ht="8.25" customHeight="1" x14ac:dyDescent="0.25"/>
    <row r="44" spans="1:17" ht="18.75" x14ac:dyDescent="0.3">
      <c r="A44" s="1374" t="s">
        <v>783</v>
      </c>
      <c r="B44" s="1374"/>
      <c r="C44" s="1374"/>
      <c r="D44" s="1374"/>
      <c r="E44" s="1374"/>
      <c r="F44" s="1374"/>
      <c r="G44" s="1374"/>
      <c r="H44" s="1374"/>
      <c r="I44" s="1374"/>
      <c r="J44" s="1374"/>
      <c r="K44" s="1374"/>
      <c r="L44" s="1374"/>
      <c r="M44" s="1374"/>
      <c r="N44" s="1374"/>
      <c r="O44" s="596"/>
      <c r="P44" s="596"/>
    </row>
    <row r="45" spans="1:17" x14ac:dyDescent="0.25">
      <c r="A45" s="1295" t="s">
        <v>790</v>
      </c>
      <c r="B45" s="1295" t="s">
        <v>78</v>
      </c>
      <c r="C45" s="1375" t="s">
        <v>79</v>
      </c>
      <c r="D45" s="1375" t="s">
        <v>80</v>
      </c>
      <c r="E45" s="1375" t="s">
        <v>81</v>
      </c>
      <c r="F45" s="1375" t="s">
        <v>82</v>
      </c>
      <c r="G45" s="1375" t="s">
        <v>83</v>
      </c>
      <c r="H45" s="1375" t="s">
        <v>84</v>
      </c>
      <c r="I45" s="1375" t="s">
        <v>85</v>
      </c>
      <c r="J45" s="1375" t="s">
        <v>86</v>
      </c>
      <c r="K45" s="1295" t="s">
        <v>41</v>
      </c>
      <c r="L45" s="1295" t="s">
        <v>4</v>
      </c>
      <c r="M45" s="1376" t="s">
        <v>87</v>
      </c>
      <c r="N45" s="1376"/>
      <c r="O45" s="356"/>
      <c r="P45" s="356"/>
    </row>
    <row r="46" spans="1:17" ht="93" customHeight="1" x14ac:dyDescent="0.25">
      <c r="A46" s="1295"/>
      <c r="B46" s="1295"/>
      <c r="C46" s="1375"/>
      <c r="D46" s="1375"/>
      <c r="E46" s="1375"/>
      <c r="F46" s="1375"/>
      <c r="G46" s="1375"/>
      <c r="H46" s="1375"/>
      <c r="I46" s="1375"/>
      <c r="J46" s="1375"/>
      <c r="K46" s="1295"/>
      <c r="L46" s="1295"/>
      <c r="M46" s="8" t="s">
        <v>88</v>
      </c>
      <c r="N46" s="8" t="s">
        <v>89</v>
      </c>
      <c r="O46" s="66"/>
      <c r="P46" s="66"/>
    </row>
    <row r="47" spans="1:17" ht="15" customHeight="1" x14ac:dyDescent="0.25">
      <c r="A47" s="226" t="s">
        <v>90</v>
      </c>
      <c r="B47" s="226" t="s">
        <v>91</v>
      </c>
      <c r="C47" s="226" t="s">
        <v>92</v>
      </c>
      <c r="D47" s="226" t="s">
        <v>93</v>
      </c>
      <c r="E47" s="226" t="s">
        <v>94</v>
      </c>
      <c r="F47" s="226" t="s">
        <v>95</v>
      </c>
      <c r="G47" s="226" t="s">
        <v>96</v>
      </c>
      <c r="H47" s="226" t="s">
        <v>97</v>
      </c>
      <c r="I47" s="226" t="s">
        <v>98</v>
      </c>
      <c r="J47" s="13">
        <v>11</v>
      </c>
      <c r="K47" s="357" t="s">
        <v>99</v>
      </c>
      <c r="L47" s="13">
        <v>13</v>
      </c>
      <c r="M47" s="13">
        <v>14</v>
      </c>
      <c r="N47" s="13">
        <v>15</v>
      </c>
      <c r="O47" s="900"/>
      <c r="P47" s="900"/>
    </row>
    <row r="48" spans="1:17" ht="15" customHeight="1" x14ac:dyDescent="0.25">
      <c r="A48" s="1408" t="s">
        <v>363</v>
      </c>
      <c r="B48" s="1409"/>
      <c r="C48" s="1409"/>
      <c r="D48" s="1409"/>
      <c r="E48" s="1409"/>
      <c r="F48" s="1409"/>
      <c r="G48" s="1409"/>
      <c r="H48" s="1409"/>
      <c r="I48" s="1409"/>
      <c r="J48" s="1409"/>
      <c r="K48" s="1409"/>
      <c r="L48" s="1409"/>
      <c r="M48" s="1409"/>
      <c r="N48" s="1410"/>
      <c r="O48" s="907"/>
      <c r="P48" s="907"/>
    </row>
    <row r="49" spans="1:17" ht="15" customHeight="1" x14ac:dyDescent="0.25">
      <c r="A49" s="1349" t="s">
        <v>5</v>
      </c>
      <c r="B49" s="1350"/>
      <c r="C49" s="1350"/>
      <c r="D49" s="1350"/>
      <c r="E49" s="1350"/>
      <c r="F49" s="1350"/>
      <c r="G49" s="1350"/>
      <c r="H49" s="1350"/>
      <c r="I49" s="1350"/>
      <c r="J49" s="1350"/>
      <c r="K49" s="1350"/>
      <c r="L49" s="1350"/>
      <c r="M49" s="1350"/>
      <c r="N49" s="1351"/>
      <c r="O49" s="908"/>
      <c r="P49" s="908"/>
    </row>
    <row r="50" spans="1:17" ht="15" customHeight="1" x14ac:dyDescent="0.25">
      <c r="A50" s="1353" t="s">
        <v>8</v>
      </c>
      <c r="B50" s="1354"/>
      <c r="C50" s="1354"/>
      <c r="D50" s="1354"/>
      <c r="E50" s="1354"/>
      <c r="F50" s="1354"/>
      <c r="G50" s="1354"/>
      <c r="H50" s="1354"/>
      <c r="I50" s="1354"/>
      <c r="J50" s="1354"/>
      <c r="K50" s="1354"/>
      <c r="L50" s="1354"/>
      <c r="M50" s="1354"/>
      <c r="N50" s="1355"/>
      <c r="O50" s="908"/>
      <c r="P50" s="908"/>
    </row>
    <row r="51" spans="1:17" ht="15" customHeight="1" x14ac:dyDescent="0.25">
      <c r="A51" s="1387">
        <v>7005</v>
      </c>
      <c r="B51" s="359" t="s">
        <v>119</v>
      </c>
      <c r="C51" s="360" t="s">
        <v>101</v>
      </c>
      <c r="D51" s="361">
        <v>324.8</v>
      </c>
      <c r="E51" s="362" t="s">
        <v>122</v>
      </c>
      <c r="F51" s="361" t="s">
        <v>102</v>
      </c>
      <c r="G51" s="362">
        <v>28</v>
      </c>
      <c r="H51" s="361">
        <v>72</v>
      </c>
      <c r="I51" s="363">
        <v>76.5</v>
      </c>
      <c r="J51" s="363">
        <v>4</v>
      </c>
      <c r="K51" s="364" t="s">
        <v>113</v>
      </c>
      <c r="L51" s="361" t="s">
        <v>114</v>
      </c>
      <c r="M51" s="362">
        <f>ROUND(((E51*I51*J51* (G51+H51))/(1000000*3.6)),4)</f>
        <v>4.3E-3</v>
      </c>
      <c r="N51" s="365">
        <f>ROUND(((D51*I51*J51*(G51+H51))/1000000000),4)</f>
        <v>9.9000000000000008E-3</v>
      </c>
      <c r="O51" s="25"/>
      <c r="P51" s="25"/>
      <c r="Q51" s="49"/>
    </row>
    <row r="52" spans="1:17" ht="15" customHeight="1" x14ac:dyDescent="0.25">
      <c r="A52" s="1387"/>
      <c r="B52" s="366" t="s">
        <v>316</v>
      </c>
      <c r="C52" s="367"/>
      <c r="D52" s="53"/>
      <c r="E52" s="342"/>
      <c r="F52" s="53"/>
      <c r="G52" s="342"/>
      <c r="H52" s="53"/>
      <c r="I52" s="368"/>
      <c r="J52" s="368">
        <v>4</v>
      </c>
      <c r="K52" s="369" t="s">
        <v>111</v>
      </c>
      <c r="L52" s="358" t="s">
        <v>112</v>
      </c>
      <c r="M52" s="342">
        <f>ROUND(((E51*I51*J51* (G51+H51))/(1000000*3.6)),4)</f>
        <v>4.3E-3</v>
      </c>
      <c r="N52" s="370">
        <f>ROUND(((D51*I51*J52*(G51+H51))/1000000000),5)</f>
        <v>9.9399999999999992E-3</v>
      </c>
      <c r="O52" s="25"/>
      <c r="P52" s="25"/>
      <c r="Q52" s="49"/>
    </row>
    <row r="53" spans="1:17" ht="15" customHeight="1" x14ac:dyDescent="0.25">
      <c r="A53" s="1387"/>
      <c r="B53" s="366"/>
      <c r="C53" s="367"/>
      <c r="D53" s="53"/>
      <c r="E53" s="342"/>
      <c r="F53" s="53"/>
      <c r="G53" s="342"/>
      <c r="H53" s="53"/>
      <c r="I53" s="368"/>
      <c r="J53" s="368">
        <v>33</v>
      </c>
      <c r="K53" s="369" t="s">
        <v>115</v>
      </c>
      <c r="L53" s="53" t="s">
        <v>116</v>
      </c>
      <c r="M53" s="342">
        <f>ROUND(((E51*I51*J53* (G51+H51))/(1000000*3.6)),4)</f>
        <v>3.5099999999999999E-2</v>
      </c>
      <c r="N53" s="370">
        <f>ROUND(((D51*I51*J53*(G51+H51))/1000000000),4)</f>
        <v>8.2000000000000003E-2</v>
      </c>
      <c r="O53" s="25"/>
      <c r="P53" s="25"/>
      <c r="Q53" s="49"/>
    </row>
    <row r="54" spans="1:17" ht="15" customHeight="1" x14ac:dyDescent="0.25">
      <c r="A54" s="1387"/>
      <c r="B54" s="366"/>
      <c r="C54" s="367"/>
      <c r="D54" s="53"/>
      <c r="E54" s="342"/>
      <c r="F54" s="53"/>
      <c r="G54" s="342"/>
      <c r="H54" s="53"/>
      <c r="I54" s="368"/>
      <c r="J54" s="368">
        <v>16</v>
      </c>
      <c r="K54" s="371" t="s">
        <v>120</v>
      </c>
      <c r="L54" s="53" t="s">
        <v>121</v>
      </c>
      <c r="M54" s="342">
        <f>ROUND(((E51*I51*J54* (G51+H51))/(1000000*3.6)),4)</f>
        <v>1.7000000000000001E-2</v>
      </c>
      <c r="N54" s="370">
        <f>ROUND(((D51*I51*J54*(G51+H51))/1000000000),4)</f>
        <v>3.9800000000000002E-2</v>
      </c>
      <c r="O54" s="25"/>
      <c r="P54" s="25"/>
      <c r="Q54" s="49"/>
    </row>
    <row r="55" spans="1:17" ht="15" customHeight="1" x14ac:dyDescent="0.25">
      <c r="A55" s="1387"/>
      <c r="B55" s="372"/>
      <c r="C55" s="373"/>
      <c r="D55" s="374"/>
      <c r="E55" s="341"/>
      <c r="F55" s="374"/>
      <c r="G55" s="341"/>
      <c r="H55" s="374"/>
      <c r="I55" s="375"/>
      <c r="J55" s="375">
        <v>43</v>
      </c>
      <c r="K55" s="369" t="s">
        <v>117</v>
      </c>
      <c r="L55" s="358" t="s">
        <v>118</v>
      </c>
      <c r="M55" s="342">
        <f>ROUND(((E51*I51*J55* (G51+H51))/(1000000*3.6)),4)</f>
        <v>4.5699999999999998E-2</v>
      </c>
      <c r="N55" s="370">
        <f>ROUND(((D51*I51*J55*(G51+H51))/1000000000),4)</f>
        <v>0.10680000000000001</v>
      </c>
      <c r="O55" s="25"/>
      <c r="P55" s="25"/>
      <c r="Q55" s="49"/>
    </row>
    <row r="56" spans="1:17" ht="15" customHeight="1" x14ac:dyDescent="0.25">
      <c r="A56" s="1388"/>
      <c r="B56" s="377" t="s">
        <v>317</v>
      </c>
      <c r="C56" s="378" t="s">
        <v>101</v>
      </c>
      <c r="D56" s="379">
        <v>391.3</v>
      </c>
      <c r="E56" s="379" t="s">
        <v>122</v>
      </c>
      <c r="F56" s="379" t="s">
        <v>102</v>
      </c>
      <c r="G56" s="379">
        <v>28</v>
      </c>
      <c r="H56" s="379">
        <v>72</v>
      </c>
      <c r="I56" s="379">
        <v>70</v>
      </c>
      <c r="J56" s="380">
        <v>20</v>
      </c>
      <c r="K56" s="381" t="s">
        <v>115</v>
      </c>
      <c r="L56" s="379">
        <v>1210</v>
      </c>
      <c r="M56" s="382">
        <f>ROUND(((E56*I56*J56* (G56+H56))/(1000000*3.6)),4)</f>
        <v>1.9400000000000001E-2</v>
      </c>
      <c r="N56" s="379">
        <f>ROUND(((D56*I56*J56*(G56+H56))/1000000000),4)</f>
        <v>5.4800000000000001E-2</v>
      </c>
      <c r="O56" s="900"/>
      <c r="P56" s="900"/>
    </row>
    <row r="57" spans="1:17" ht="15" customHeight="1" x14ac:dyDescent="0.25">
      <c r="A57" s="1388"/>
      <c r="B57" s="383" t="s">
        <v>318</v>
      </c>
      <c r="C57" s="384"/>
      <c r="D57" s="385"/>
      <c r="E57" s="385"/>
      <c r="F57" s="385"/>
      <c r="G57" s="385"/>
      <c r="H57" s="385"/>
      <c r="I57" s="385"/>
      <c r="J57" s="386">
        <v>80</v>
      </c>
      <c r="K57" s="369" t="s">
        <v>103</v>
      </c>
      <c r="L57" s="387" t="s">
        <v>104</v>
      </c>
      <c r="M57" s="358">
        <f>ROUND(((E56*I56*J57* (G56+H56))/(1000000*3.6)),4)</f>
        <v>7.7799999999999994E-2</v>
      </c>
      <c r="N57" s="387">
        <f>ROUND(((D56*I56*J57*(G56+H56))/1000000000),4)</f>
        <v>0.21909999999999999</v>
      </c>
      <c r="O57" s="900"/>
      <c r="P57" s="900"/>
    </row>
    <row r="58" spans="1:17" ht="15" customHeight="1" x14ac:dyDescent="0.25">
      <c r="A58" s="1388"/>
      <c r="B58" s="378" t="s">
        <v>105</v>
      </c>
      <c r="C58" s="378" t="s">
        <v>101</v>
      </c>
      <c r="D58" s="379">
        <v>18</v>
      </c>
      <c r="E58" s="379" t="s">
        <v>122</v>
      </c>
      <c r="F58" s="379" t="s">
        <v>102</v>
      </c>
      <c r="G58" s="379">
        <v>28</v>
      </c>
      <c r="H58" s="379">
        <v>72</v>
      </c>
      <c r="I58" s="379">
        <v>46</v>
      </c>
      <c r="J58" s="380">
        <v>28.7</v>
      </c>
      <c r="K58" s="388" t="s">
        <v>103</v>
      </c>
      <c r="L58" s="362" t="s">
        <v>104</v>
      </c>
      <c r="M58" s="382">
        <f>ROUND(((E58*I58*J58* (G58+H58))/(1000000*3.6)),4)</f>
        <v>1.83E-2</v>
      </c>
      <c r="N58" s="379">
        <f>ROUND(((D58*I58*J58*(G58+H58))/1000000000),5)</f>
        <v>2.3800000000000002E-3</v>
      </c>
      <c r="O58" s="900"/>
      <c r="P58" s="900"/>
    </row>
    <row r="59" spans="1:17" ht="15" customHeight="1" x14ac:dyDescent="0.25">
      <c r="A59" s="1388"/>
      <c r="B59" s="385"/>
      <c r="C59" s="384"/>
      <c r="D59" s="385"/>
      <c r="E59" s="385"/>
      <c r="F59" s="385"/>
      <c r="G59" s="385"/>
      <c r="H59" s="385"/>
      <c r="I59" s="385"/>
      <c r="J59" s="386">
        <v>35.65</v>
      </c>
      <c r="K59" s="389" t="s">
        <v>106</v>
      </c>
      <c r="L59" s="342" t="s">
        <v>107</v>
      </c>
      <c r="M59" s="358">
        <f>ROUND(((E58*I58*J59* (G58+H58))/(1000000*3.6)),4)</f>
        <v>2.2800000000000001E-2</v>
      </c>
      <c r="N59" s="387">
        <f>ROUND(((D58*I58*J59*(G58+H58))/1000000000),4)</f>
        <v>3.0000000000000001E-3</v>
      </c>
      <c r="O59" s="900"/>
      <c r="P59" s="900"/>
    </row>
    <row r="60" spans="1:17" ht="15" customHeight="1" x14ac:dyDescent="0.25">
      <c r="A60" s="1388"/>
      <c r="B60" s="390"/>
      <c r="C60" s="384"/>
      <c r="D60" s="385"/>
      <c r="E60" s="385"/>
      <c r="F60" s="385"/>
      <c r="G60" s="385"/>
      <c r="H60" s="385"/>
      <c r="I60" s="385"/>
      <c r="J60" s="386">
        <v>35.65</v>
      </c>
      <c r="K60" s="389" t="s">
        <v>108</v>
      </c>
      <c r="L60" s="387" t="s">
        <v>109</v>
      </c>
      <c r="M60" s="358">
        <f>ROUND(((E58*I58*J60* (G58+H58))/(1000000*3.6)),4)</f>
        <v>2.2800000000000001E-2</v>
      </c>
      <c r="N60" s="387">
        <f>ROUND(((D58*I58*J60*(G58+H58))/1000000000),4)</f>
        <v>3.0000000000000001E-3</v>
      </c>
      <c r="O60" s="900"/>
      <c r="P60" s="900"/>
    </row>
    <row r="61" spans="1:17" ht="15" customHeight="1" x14ac:dyDescent="0.25">
      <c r="A61" s="1388"/>
      <c r="B61" s="391" t="s">
        <v>206</v>
      </c>
      <c r="C61" s="378" t="s">
        <v>101</v>
      </c>
      <c r="D61" s="379">
        <v>1</v>
      </c>
      <c r="E61" s="382">
        <v>0.5</v>
      </c>
      <c r="F61" s="379" t="s">
        <v>102</v>
      </c>
      <c r="G61" s="379">
        <v>28</v>
      </c>
      <c r="H61" s="379">
        <v>72</v>
      </c>
      <c r="I61" s="382">
        <v>45</v>
      </c>
      <c r="J61" s="379">
        <v>50</v>
      </c>
      <c r="K61" s="364" t="s">
        <v>103</v>
      </c>
      <c r="L61" s="392" t="s">
        <v>104</v>
      </c>
      <c r="M61" s="382">
        <f>ROUND(((E61*I61*J61* (G61+H61))/(1000000*3.6)),4)</f>
        <v>3.1300000000000001E-2</v>
      </c>
      <c r="N61" s="379">
        <f>ROUND(((D61*I61*J61*(G61+H61))/1000000000),4)</f>
        <v>2.0000000000000001E-4</v>
      </c>
      <c r="O61" s="900"/>
      <c r="P61" s="900"/>
    </row>
    <row r="62" spans="1:17" ht="15" customHeight="1" x14ac:dyDescent="0.25">
      <c r="A62" s="1388"/>
      <c r="B62" s="393" t="s">
        <v>127</v>
      </c>
      <c r="C62" s="394"/>
      <c r="D62" s="395"/>
      <c r="E62" s="396"/>
      <c r="F62" s="395"/>
      <c r="G62" s="396"/>
      <c r="H62" s="395"/>
      <c r="I62" s="396"/>
      <c r="J62" s="397">
        <v>50</v>
      </c>
      <c r="K62" s="398" t="s">
        <v>106</v>
      </c>
      <c r="L62" s="399">
        <v>2752</v>
      </c>
      <c r="M62" s="400">
        <f>ROUND(((E61*I61*J62* (G61+H61))/(1000000*3.6)),4)</f>
        <v>3.1300000000000001E-2</v>
      </c>
      <c r="N62" s="397">
        <f>ROUND(((D61*I61*J62*(G61+H61))/1000000000),4)</f>
        <v>2.0000000000000001E-4</v>
      </c>
      <c r="O62" s="900"/>
      <c r="P62" s="900"/>
    </row>
    <row r="63" spans="1:17" s="148" customFormat="1" ht="15" customHeight="1" x14ac:dyDescent="0.25">
      <c r="A63" s="1392" t="s">
        <v>364</v>
      </c>
      <c r="B63" s="1392"/>
      <c r="C63" s="1392"/>
      <c r="D63" s="1392"/>
      <c r="E63" s="1392"/>
      <c r="F63" s="1392"/>
      <c r="G63" s="1392"/>
      <c r="H63" s="1392"/>
      <c r="I63" s="1392"/>
      <c r="J63" s="1392"/>
      <c r="K63" s="401" t="s">
        <v>106</v>
      </c>
      <c r="L63" s="402" t="s">
        <v>107</v>
      </c>
      <c r="M63" s="403">
        <f>MAX(M59,M62)</f>
        <v>3.1300000000000001E-2</v>
      </c>
      <c r="N63" s="403">
        <f>N59+N62</f>
        <v>3.2000000000000002E-3</v>
      </c>
      <c r="O63" s="902"/>
      <c r="P63" s="902"/>
      <c r="Q63" s="150"/>
    </row>
    <row r="64" spans="1:17" s="148" customFormat="1" ht="15" customHeight="1" x14ac:dyDescent="0.25">
      <c r="A64" s="1392"/>
      <c r="B64" s="1392"/>
      <c r="C64" s="1392"/>
      <c r="D64" s="1392"/>
      <c r="E64" s="1392"/>
      <c r="F64" s="1392"/>
      <c r="G64" s="1392"/>
      <c r="H64" s="1392"/>
      <c r="I64" s="1392"/>
      <c r="J64" s="1392"/>
      <c r="K64" s="404" t="s">
        <v>103</v>
      </c>
      <c r="L64" s="405" t="s">
        <v>104</v>
      </c>
      <c r="M64" s="405">
        <f>MAX(M57,M58,M61)</f>
        <v>7.7799999999999994E-2</v>
      </c>
      <c r="N64" s="405">
        <f>N57+N58+N61</f>
        <v>0.22167999999999999</v>
      </c>
      <c r="O64" s="901"/>
      <c r="P64" s="901"/>
      <c r="Q64" s="150"/>
    </row>
    <row r="65" spans="1:18" s="148" customFormat="1" ht="15" customHeight="1" x14ac:dyDescent="0.25">
      <c r="A65" s="1392"/>
      <c r="B65" s="1392"/>
      <c r="C65" s="1392"/>
      <c r="D65" s="1392"/>
      <c r="E65" s="1392"/>
      <c r="F65" s="1392"/>
      <c r="G65" s="1392"/>
      <c r="H65" s="1392"/>
      <c r="I65" s="1392"/>
      <c r="J65" s="1392"/>
      <c r="K65" s="406" t="s">
        <v>108</v>
      </c>
      <c r="L65" s="407" t="s">
        <v>109</v>
      </c>
      <c r="M65" s="405">
        <f>M60</f>
        <v>2.2800000000000001E-2</v>
      </c>
      <c r="N65" s="405">
        <f>N60</f>
        <v>3.0000000000000001E-3</v>
      </c>
      <c r="O65" s="901"/>
      <c r="P65" s="901"/>
      <c r="Q65" s="150"/>
    </row>
    <row r="66" spans="1:18" s="148" customFormat="1" ht="15" customHeight="1" x14ac:dyDescent="0.25">
      <c r="A66" s="1392"/>
      <c r="B66" s="1392"/>
      <c r="C66" s="1392"/>
      <c r="D66" s="1392"/>
      <c r="E66" s="1392"/>
      <c r="F66" s="1392"/>
      <c r="G66" s="1392"/>
      <c r="H66" s="1392"/>
      <c r="I66" s="1392"/>
      <c r="J66" s="1392"/>
      <c r="K66" s="406" t="s">
        <v>111</v>
      </c>
      <c r="L66" s="407" t="s">
        <v>112</v>
      </c>
      <c r="M66" s="405">
        <f>M52</f>
        <v>4.3E-3</v>
      </c>
      <c r="N66" s="405">
        <f>N52</f>
        <v>9.9399999999999992E-3</v>
      </c>
      <c r="O66" s="901"/>
      <c r="P66" s="901"/>
      <c r="Q66" s="150"/>
    </row>
    <row r="67" spans="1:18" s="148" customFormat="1" ht="15" customHeight="1" x14ac:dyDescent="0.25">
      <c r="A67" s="1392"/>
      <c r="B67" s="1392"/>
      <c r="C67" s="1392"/>
      <c r="D67" s="1392"/>
      <c r="E67" s="1392"/>
      <c r="F67" s="1392"/>
      <c r="G67" s="1392"/>
      <c r="H67" s="1392"/>
      <c r="I67" s="1392"/>
      <c r="J67" s="1392"/>
      <c r="K67" s="404" t="s">
        <v>113</v>
      </c>
      <c r="L67" s="405" t="s">
        <v>114</v>
      </c>
      <c r="M67" s="405">
        <f>M51</f>
        <v>4.3E-3</v>
      </c>
      <c r="N67" s="405">
        <f>N51</f>
        <v>9.9000000000000008E-3</v>
      </c>
      <c r="O67" s="901"/>
      <c r="P67" s="901"/>
      <c r="Q67" s="150"/>
    </row>
    <row r="68" spans="1:18" s="148" customFormat="1" ht="15" customHeight="1" x14ac:dyDescent="0.25">
      <c r="A68" s="1392"/>
      <c r="B68" s="1392"/>
      <c r="C68" s="1392"/>
      <c r="D68" s="1392"/>
      <c r="E68" s="1392"/>
      <c r="F68" s="1392"/>
      <c r="G68" s="1392"/>
      <c r="H68" s="1392"/>
      <c r="I68" s="1392"/>
      <c r="J68" s="1392"/>
      <c r="K68" s="406" t="s">
        <v>115</v>
      </c>
      <c r="L68" s="405" t="s">
        <v>116</v>
      </c>
      <c r="M68" s="405">
        <f>MAX(M53,M56)</f>
        <v>3.5099999999999999E-2</v>
      </c>
      <c r="N68" s="405">
        <f>N53+N56</f>
        <v>0.1368</v>
      </c>
      <c r="O68" s="901"/>
      <c r="P68" s="901"/>
      <c r="Q68" s="150"/>
    </row>
    <row r="69" spans="1:18" s="148" customFormat="1" ht="15" customHeight="1" x14ac:dyDescent="0.25">
      <c r="A69" s="1392"/>
      <c r="B69" s="1392"/>
      <c r="C69" s="1392"/>
      <c r="D69" s="1392"/>
      <c r="E69" s="1392"/>
      <c r="F69" s="1392"/>
      <c r="G69" s="1392"/>
      <c r="H69" s="1392"/>
      <c r="I69" s="1392"/>
      <c r="J69" s="1392"/>
      <c r="K69" s="404" t="s">
        <v>120</v>
      </c>
      <c r="L69" s="408" t="s">
        <v>121</v>
      </c>
      <c r="M69" s="405">
        <f>M54</f>
        <v>1.7000000000000001E-2</v>
      </c>
      <c r="N69" s="405">
        <f>N54</f>
        <v>3.9800000000000002E-2</v>
      </c>
      <c r="O69" s="901"/>
      <c r="P69" s="901"/>
      <c r="Q69" s="150"/>
    </row>
    <row r="70" spans="1:18" s="148" customFormat="1" ht="15" customHeight="1" x14ac:dyDescent="0.25">
      <c r="A70" s="1392"/>
      <c r="B70" s="1392"/>
      <c r="C70" s="1392"/>
      <c r="D70" s="1392"/>
      <c r="E70" s="1392"/>
      <c r="F70" s="1392"/>
      <c r="G70" s="1392"/>
      <c r="H70" s="1392"/>
      <c r="I70" s="1392"/>
      <c r="J70" s="1392"/>
      <c r="K70" s="409" t="s">
        <v>117</v>
      </c>
      <c r="L70" s="410" t="s">
        <v>118</v>
      </c>
      <c r="M70" s="411">
        <f>M55</f>
        <v>4.5699999999999998E-2</v>
      </c>
      <c r="N70" s="411">
        <f>N55</f>
        <v>0.10680000000000001</v>
      </c>
      <c r="O70" s="901">
        <f>SUM(M63:M70)</f>
        <v>0.23829999999999998</v>
      </c>
      <c r="P70" s="901">
        <f>SUM(N63:N70)</f>
        <v>0.53112000000000004</v>
      </c>
      <c r="Q70" s="150"/>
    </row>
    <row r="71" spans="1:18" ht="15" customHeight="1" x14ac:dyDescent="0.25">
      <c r="A71" s="1353" t="s">
        <v>213</v>
      </c>
      <c r="B71" s="1358"/>
      <c r="C71" s="1358"/>
      <c r="D71" s="1358"/>
      <c r="E71" s="1358"/>
      <c r="F71" s="1358"/>
      <c r="G71" s="1358"/>
      <c r="H71" s="1358"/>
      <c r="I71" s="1358"/>
      <c r="J71" s="1358"/>
      <c r="K71" s="1358"/>
      <c r="L71" s="1358"/>
      <c r="M71" s="1358"/>
      <c r="N71" s="1359"/>
      <c r="O71" s="908"/>
      <c r="P71" s="908"/>
    </row>
    <row r="72" spans="1:18" s="148" customFormat="1" ht="15" customHeight="1" x14ac:dyDescent="0.25">
      <c r="A72" s="1360">
        <v>7022</v>
      </c>
      <c r="B72" s="413" t="s">
        <v>105</v>
      </c>
      <c r="C72" s="413" t="s">
        <v>101</v>
      </c>
      <c r="D72" s="13">
        <v>51.3</v>
      </c>
      <c r="E72" s="13" t="s">
        <v>122</v>
      </c>
      <c r="F72" s="13" t="s">
        <v>102</v>
      </c>
      <c r="G72" s="13">
        <v>28</v>
      </c>
      <c r="H72" s="13">
        <v>72</v>
      </c>
      <c r="I72" s="13">
        <v>46</v>
      </c>
      <c r="J72" s="227">
        <v>28.7</v>
      </c>
      <c r="K72" s="414" t="s">
        <v>103</v>
      </c>
      <c r="L72" s="12" t="s">
        <v>104</v>
      </c>
      <c r="M72" s="415">
        <f>ROUND(((E72*I72*J72* (G72+H72))/(1000000*3.6)),4)</f>
        <v>1.83E-2</v>
      </c>
      <c r="N72" s="13">
        <f>ROUND(((D72*I72*J72*(G72+H72))/1000000000),5)</f>
        <v>6.77E-3</v>
      </c>
      <c r="O72" s="902"/>
      <c r="P72" s="902"/>
      <c r="Q72" s="150"/>
    </row>
    <row r="73" spans="1:18" s="148" customFormat="1" ht="15" customHeight="1" x14ac:dyDescent="0.25">
      <c r="A73" s="1361"/>
      <c r="B73" s="417"/>
      <c r="C73" s="418"/>
      <c r="D73" s="417"/>
      <c r="E73" s="417"/>
      <c r="F73" s="417"/>
      <c r="G73" s="417"/>
      <c r="H73" s="417"/>
      <c r="I73" s="417"/>
      <c r="J73" s="419">
        <v>35.65</v>
      </c>
      <c r="K73" s="420" t="s">
        <v>106</v>
      </c>
      <c r="L73" s="339" t="s">
        <v>107</v>
      </c>
      <c r="M73" s="421">
        <f>ROUND(((E72*I72*J73* (G72+H72))/(1000000*3.6)),4)</f>
        <v>2.2800000000000001E-2</v>
      </c>
      <c r="N73" s="422">
        <f>ROUND(((D72*I72*J73*(G72+H72))/1000000000),4)</f>
        <v>8.3999999999999995E-3</v>
      </c>
      <c r="O73" s="902"/>
      <c r="P73" s="902"/>
      <c r="Q73" s="150"/>
    </row>
    <row r="74" spans="1:18" s="148" customFormat="1" ht="15" customHeight="1" x14ac:dyDescent="0.25">
      <c r="A74" s="1377"/>
      <c r="B74" s="424"/>
      <c r="C74" s="425"/>
      <c r="D74" s="426"/>
      <c r="E74" s="426"/>
      <c r="F74" s="426"/>
      <c r="G74" s="426"/>
      <c r="H74" s="426"/>
      <c r="I74" s="426"/>
      <c r="J74" s="427">
        <v>35.65</v>
      </c>
      <c r="K74" s="428" t="s">
        <v>108</v>
      </c>
      <c r="L74" s="429" t="s">
        <v>109</v>
      </c>
      <c r="M74" s="430">
        <f>ROUND(((E72*I72*J74* (G72+H72))/(1000000*3.6)),4)</f>
        <v>2.2800000000000001E-2</v>
      </c>
      <c r="N74" s="429">
        <f>ROUND(((D72*I72*J74*(G72+H72))/1000000000),4)</f>
        <v>8.3999999999999995E-3</v>
      </c>
      <c r="O74" s="901">
        <f>SUM(M72:M74)</f>
        <v>6.3899999999999998E-2</v>
      </c>
      <c r="P74" s="901">
        <f>SUM(N72:N74)</f>
        <v>2.3570000000000001E-2</v>
      </c>
      <c r="Q74" s="150"/>
    </row>
    <row r="75" spans="1:18" ht="15" customHeight="1" x14ac:dyDescent="0.25">
      <c r="A75" s="1353" t="s">
        <v>264</v>
      </c>
      <c r="B75" s="1358"/>
      <c r="C75" s="1358"/>
      <c r="D75" s="1358"/>
      <c r="E75" s="1358"/>
      <c r="F75" s="1358"/>
      <c r="G75" s="1358"/>
      <c r="H75" s="1358"/>
      <c r="I75" s="1358"/>
      <c r="J75" s="1358"/>
      <c r="K75" s="1358"/>
      <c r="L75" s="1358"/>
      <c r="M75" s="1358"/>
      <c r="N75" s="1359"/>
      <c r="O75" s="908"/>
      <c r="P75" s="908"/>
    </row>
    <row r="76" spans="1:18" ht="15" customHeight="1" x14ac:dyDescent="0.25">
      <c r="A76" s="1360">
        <v>7080</v>
      </c>
      <c r="B76" s="431" t="s">
        <v>273</v>
      </c>
      <c r="C76" s="432" t="s">
        <v>101</v>
      </c>
      <c r="D76" s="433">
        <v>1</v>
      </c>
      <c r="E76" s="12" t="s">
        <v>240</v>
      </c>
      <c r="F76" s="433" t="s">
        <v>102</v>
      </c>
      <c r="G76" s="12">
        <v>28</v>
      </c>
      <c r="H76" s="433">
        <v>72</v>
      </c>
      <c r="I76" s="345">
        <v>64.5</v>
      </c>
      <c r="J76" s="345">
        <v>50</v>
      </c>
      <c r="K76" s="434" t="s">
        <v>115</v>
      </c>
      <c r="L76" s="13">
        <v>1210</v>
      </c>
      <c r="M76" s="12">
        <f>ROUND(((E76*I76*J76* (G76+H76))/(1000000*3.6)),4)</f>
        <v>8.9999999999999993E-3</v>
      </c>
      <c r="N76" s="435">
        <f>ROUND(((D76*I76*J76*(G76+H76))/1000000000),4)</f>
        <v>2.9999999999999997E-4</v>
      </c>
      <c r="O76" s="25"/>
      <c r="P76" s="25"/>
      <c r="Q76" s="50"/>
      <c r="R76" s="9"/>
    </row>
    <row r="77" spans="1:18" ht="15" customHeight="1" x14ac:dyDescent="0.25">
      <c r="A77" s="1361"/>
      <c r="B77" s="436"/>
      <c r="C77" s="437"/>
      <c r="D77" s="153"/>
      <c r="E77" s="339"/>
      <c r="F77" s="153"/>
      <c r="G77" s="339"/>
      <c r="H77" s="153"/>
      <c r="I77" s="235"/>
      <c r="J77" s="235">
        <v>20</v>
      </c>
      <c r="K77" s="438" t="s">
        <v>111</v>
      </c>
      <c r="L77" s="421" t="s">
        <v>112</v>
      </c>
      <c r="M77" s="339">
        <f>ROUND(((E76*I76*J76* (G76+H76))/(1000000*3.6)),4)</f>
        <v>8.9999999999999993E-3</v>
      </c>
      <c r="N77" s="439">
        <f>ROUND(((D76*I76*J77*(G76+H76))/1000000000),5)</f>
        <v>1.2999999999999999E-4</v>
      </c>
      <c r="O77" s="25"/>
      <c r="P77" s="25"/>
      <c r="Q77" s="49"/>
      <c r="R77" s="51"/>
    </row>
    <row r="78" spans="1:18" ht="15" customHeight="1" x14ac:dyDescent="0.25">
      <c r="A78" s="1361"/>
      <c r="B78" s="436"/>
      <c r="C78" s="437"/>
      <c r="D78" s="153"/>
      <c r="E78" s="339"/>
      <c r="F78" s="153"/>
      <c r="G78" s="339"/>
      <c r="H78" s="153"/>
      <c r="I78" s="235"/>
      <c r="J78" s="235">
        <v>10</v>
      </c>
      <c r="K78" s="438" t="s">
        <v>274</v>
      </c>
      <c r="L78" s="153" t="s">
        <v>275</v>
      </c>
      <c r="M78" s="339">
        <f>ROUND(((E76*I76*J78* (G76+H76))/(1000000*3.6)),4)</f>
        <v>1.8E-3</v>
      </c>
      <c r="N78" s="439">
        <f>ROUND(((D76*I76*J78*(G76+H76))/1000000000),4)</f>
        <v>1E-4</v>
      </c>
      <c r="O78" s="25"/>
      <c r="P78" s="25"/>
      <c r="Q78" s="49"/>
      <c r="R78" s="51"/>
    </row>
    <row r="79" spans="1:18" ht="15" customHeight="1" x14ac:dyDescent="0.25">
      <c r="A79" s="1361"/>
      <c r="B79" s="440"/>
      <c r="C79" s="441"/>
      <c r="D79" s="442"/>
      <c r="E79" s="340"/>
      <c r="F79" s="442"/>
      <c r="G79" s="340"/>
      <c r="H79" s="442"/>
      <c r="I79" s="346"/>
      <c r="J79" s="346">
        <v>20</v>
      </c>
      <c r="K79" s="443" t="s">
        <v>117</v>
      </c>
      <c r="L79" s="430" t="s">
        <v>118</v>
      </c>
      <c r="M79" s="340">
        <f>ROUND(((E76*I76*J79* (G76+H76))/(1000000*3.6)),4)</f>
        <v>3.5999999999999999E-3</v>
      </c>
      <c r="N79" s="444">
        <f>ROUND(((D76*I76*J79*(G76+H76))/1000000000),4)</f>
        <v>1E-4</v>
      </c>
      <c r="O79" s="25"/>
      <c r="P79" s="25"/>
      <c r="Q79" s="50"/>
      <c r="R79" s="51"/>
    </row>
    <row r="80" spans="1:18" ht="15" customHeight="1" x14ac:dyDescent="0.25">
      <c r="A80" s="1368"/>
      <c r="B80" s="413" t="s">
        <v>334</v>
      </c>
      <c r="C80" s="413" t="s">
        <v>101</v>
      </c>
      <c r="D80" s="13">
        <v>20</v>
      </c>
      <c r="E80" s="13" t="s">
        <v>122</v>
      </c>
      <c r="F80" s="13" t="s">
        <v>102</v>
      </c>
      <c r="G80" s="13">
        <v>28</v>
      </c>
      <c r="H80" s="13">
        <v>72</v>
      </c>
      <c r="I80" s="13">
        <v>70</v>
      </c>
      <c r="J80" s="227">
        <v>20</v>
      </c>
      <c r="K80" s="434" t="s">
        <v>115</v>
      </c>
      <c r="L80" s="13">
        <v>1210</v>
      </c>
      <c r="M80" s="415">
        <f>ROUND(((E80*I80*J80* (G80+H80))/(1000000*3.6)),4)</f>
        <v>1.9400000000000001E-2</v>
      </c>
      <c r="N80" s="13">
        <f>ROUND(((D80*I80*J80*(G80+H80))/1000000000),4)</f>
        <v>2.8E-3</v>
      </c>
      <c r="O80" s="900"/>
      <c r="P80" s="900"/>
    </row>
    <row r="81" spans="1:19" ht="15" customHeight="1" x14ac:dyDescent="0.25">
      <c r="A81" s="1369"/>
      <c r="B81" s="424" t="s">
        <v>335</v>
      </c>
      <c r="C81" s="425"/>
      <c r="D81" s="426"/>
      <c r="E81" s="426"/>
      <c r="F81" s="426"/>
      <c r="G81" s="426"/>
      <c r="H81" s="426"/>
      <c r="I81" s="426"/>
      <c r="J81" s="427">
        <v>80</v>
      </c>
      <c r="K81" s="443" t="s">
        <v>103</v>
      </c>
      <c r="L81" s="429" t="s">
        <v>104</v>
      </c>
      <c r="M81" s="430">
        <f>ROUND(((E80*I80*J81* (G80+H80))/(1000000*3.6)),4)</f>
        <v>7.7799999999999994E-2</v>
      </c>
      <c r="N81" s="429">
        <f>ROUND(((D80*I80*J81*(G80+H80))/1000000000),4)</f>
        <v>1.12E-2</v>
      </c>
      <c r="O81" s="900"/>
      <c r="P81" s="900"/>
    </row>
    <row r="82" spans="1:19" s="148" customFormat="1" ht="15" customHeight="1" x14ac:dyDescent="0.25">
      <c r="A82" s="1352" t="s">
        <v>476</v>
      </c>
      <c r="B82" s="1352"/>
      <c r="C82" s="1352"/>
      <c r="D82" s="1352"/>
      <c r="E82" s="1352"/>
      <c r="F82" s="1352"/>
      <c r="G82" s="1352"/>
      <c r="H82" s="1352"/>
      <c r="I82" s="1352"/>
      <c r="J82" s="1352"/>
      <c r="K82" s="447" t="s">
        <v>103</v>
      </c>
      <c r="L82" s="448" t="s">
        <v>104</v>
      </c>
      <c r="M82" s="449">
        <f>M81</f>
        <v>7.7799999999999994E-2</v>
      </c>
      <c r="N82" s="449">
        <f>N81</f>
        <v>1.12E-2</v>
      </c>
      <c r="O82" s="902"/>
      <c r="P82" s="902"/>
      <c r="Q82" s="150"/>
    </row>
    <row r="83" spans="1:19" s="148" customFormat="1" ht="15" customHeight="1" x14ac:dyDescent="0.25">
      <c r="A83" s="1352"/>
      <c r="B83" s="1352"/>
      <c r="C83" s="1352"/>
      <c r="D83" s="1352"/>
      <c r="E83" s="1352"/>
      <c r="F83" s="1352"/>
      <c r="G83" s="1352"/>
      <c r="H83" s="1352"/>
      <c r="I83" s="1352"/>
      <c r="J83" s="1352"/>
      <c r="K83" s="450" t="s">
        <v>111</v>
      </c>
      <c r="L83" s="451" t="s">
        <v>112</v>
      </c>
      <c r="M83" s="452">
        <f>M77</f>
        <v>8.9999999999999993E-3</v>
      </c>
      <c r="N83" s="452">
        <f>N77</f>
        <v>1.2999999999999999E-4</v>
      </c>
      <c r="O83" s="901"/>
      <c r="P83" s="901"/>
      <c r="Q83" s="150"/>
    </row>
    <row r="84" spans="1:19" s="148" customFormat="1" ht="15" customHeight="1" x14ac:dyDescent="0.25">
      <c r="A84" s="1352"/>
      <c r="B84" s="1352"/>
      <c r="C84" s="1352"/>
      <c r="D84" s="1352"/>
      <c r="E84" s="1352"/>
      <c r="F84" s="1352"/>
      <c r="G84" s="1352"/>
      <c r="H84" s="1352"/>
      <c r="I84" s="1352"/>
      <c r="J84" s="1352"/>
      <c r="K84" s="450" t="s">
        <v>274</v>
      </c>
      <c r="L84" s="453" t="s">
        <v>275</v>
      </c>
      <c r="M84" s="452">
        <f>M78</f>
        <v>1.8E-3</v>
      </c>
      <c r="N84" s="452">
        <f>N78</f>
        <v>1E-4</v>
      </c>
      <c r="O84" s="901"/>
      <c r="P84" s="901"/>
      <c r="Q84" s="150"/>
    </row>
    <row r="85" spans="1:19" s="148" customFormat="1" ht="15" customHeight="1" x14ac:dyDescent="0.25">
      <c r="A85" s="1352"/>
      <c r="B85" s="1352"/>
      <c r="C85" s="1352"/>
      <c r="D85" s="1352"/>
      <c r="E85" s="1352"/>
      <c r="F85" s="1352"/>
      <c r="G85" s="1352"/>
      <c r="H85" s="1352"/>
      <c r="I85" s="1352"/>
      <c r="J85" s="1352"/>
      <c r="K85" s="450" t="s">
        <v>115</v>
      </c>
      <c r="L85" s="452" t="s">
        <v>116</v>
      </c>
      <c r="M85" s="452">
        <f>MAX(M76,M80)</f>
        <v>1.9400000000000001E-2</v>
      </c>
      <c r="N85" s="452">
        <f>N76+N80</f>
        <v>3.0999999999999999E-3</v>
      </c>
      <c r="O85" s="901"/>
      <c r="P85" s="901"/>
      <c r="Q85" s="150"/>
    </row>
    <row r="86" spans="1:19" s="148" customFormat="1" ht="15" customHeight="1" x14ac:dyDescent="0.25">
      <c r="A86" s="1352"/>
      <c r="B86" s="1352"/>
      <c r="C86" s="1352"/>
      <c r="D86" s="1352"/>
      <c r="E86" s="1352"/>
      <c r="F86" s="1352"/>
      <c r="G86" s="1352"/>
      <c r="H86" s="1352"/>
      <c r="I86" s="1352"/>
      <c r="J86" s="1352"/>
      <c r="K86" s="454" t="s">
        <v>117</v>
      </c>
      <c r="L86" s="455" t="s">
        <v>118</v>
      </c>
      <c r="M86" s="456">
        <f>M79</f>
        <v>3.5999999999999999E-3</v>
      </c>
      <c r="N86" s="456">
        <f>N79</f>
        <v>1E-4</v>
      </c>
      <c r="O86" s="901">
        <f>SUM(M82:M86)</f>
        <v>0.11159999999999999</v>
      </c>
      <c r="P86" s="901">
        <f>SUM(N82:N86)</f>
        <v>1.4629999999999999E-2</v>
      </c>
      <c r="Q86" s="150"/>
    </row>
    <row r="87" spans="1:19" ht="15" customHeight="1" x14ac:dyDescent="0.25">
      <c r="A87" s="1353" t="s">
        <v>276</v>
      </c>
      <c r="B87" s="1358"/>
      <c r="C87" s="1358"/>
      <c r="D87" s="1358"/>
      <c r="E87" s="1358"/>
      <c r="F87" s="1358"/>
      <c r="G87" s="1358"/>
      <c r="H87" s="1358"/>
      <c r="I87" s="1358"/>
      <c r="J87" s="1358"/>
      <c r="K87" s="1358"/>
      <c r="L87" s="1358"/>
      <c r="M87" s="1358"/>
      <c r="N87" s="1359"/>
      <c r="O87" s="908"/>
      <c r="P87" s="908"/>
    </row>
    <row r="88" spans="1:19" ht="30" customHeight="1" x14ac:dyDescent="0.25">
      <c r="A88" s="1360" t="s">
        <v>485</v>
      </c>
      <c r="B88" s="457" t="s">
        <v>211</v>
      </c>
      <c r="C88" s="458" t="s">
        <v>101</v>
      </c>
      <c r="D88" s="12">
        <v>335</v>
      </c>
      <c r="E88" s="12" t="s">
        <v>122</v>
      </c>
      <c r="F88" s="183" t="s">
        <v>102</v>
      </c>
      <c r="G88" s="183">
        <v>28</v>
      </c>
      <c r="H88" s="183">
        <v>72</v>
      </c>
      <c r="I88" s="12">
        <v>45</v>
      </c>
      <c r="J88" s="12">
        <v>100</v>
      </c>
      <c r="K88" s="459" t="s">
        <v>205</v>
      </c>
      <c r="L88" s="183" t="s">
        <v>59</v>
      </c>
      <c r="M88" s="183">
        <f>ROUND(((E88*I88*J88* (G88+H88))/(1000000*3.6)),4)</f>
        <v>6.25E-2</v>
      </c>
      <c r="N88" s="183">
        <f>ROUND(((D88*I88*J88*(G88+H88))/1000000000),4)</f>
        <v>0.15079999999999999</v>
      </c>
      <c r="O88" s="25"/>
      <c r="P88" s="25"/>
      <c r="Q88" s="50"/>
      <c r="R88" s="9"/>
      <c r="S88" s="9"/>
    </row>
    <row r="89" spans="1:19" ht="30" customHeight="1" x14ac:dyDescent="0.25">
      <c r="A89" s="1377"/>
      <c r="B89" s="460" t="s">
        <v>212</v>
      </c>
      <c r="C89" s="458" t="s">
        <v>101</v>
      </c>
      <c r="D89" s="12">
        <v>335</v>
      </c>
      <c r="E89" s="12" t="s">
        <v>122</v>
      </c>
      <c r="F89" s="183" t="s">
        <v>102</v>
      </c>
      <c r="G89" s="183">
        <v>28</v>
      </c>
      <c r="H89" s="183">
        <v>72</v>
      </c>
      <c r="I89" s="12">
        <v>45</v>
      </c>
      <c r="J89" s="12">
        <v>100</v>
      </c>
      <c r="K89" s="459" t="s">
        <v>205</v>
      </c>
      <c r="L89" s="183" t="s">
        <v>59</v>
      </c>
      <c r="M89" s="183">
        <f>ROUND(((E89*I89*J89* (G89+H89))/(1000000*3.6)),4)</f>
        <v>6.25E-2</v>
      </c>
      <c r="N89" s="183">
        <f>ROUND(((D89*I89*J89*(G89+H89))/1000000000),4)</f>
        <v>0.15079999999999999</v>
      </c>
      <c r="O89" s="25"/>
      <c r="P89" s="25"/>
      <c r="Q89" s="50"/>
      <c r="R89" s="9"/>
      <c r="S89" s="9"/>
    </row>
    <row r="90" spans="1:19" s="148" customFormat="1" ht="30" customHeight="1" x14ac:dyDescent="0.25">
      <c r="A90" s="1352" t="s">
        <v>486</v>
      </c>
      <c r="B90" s="1352"/>
      <c r="C90" s="1352"/>
      <c r="D90" s="1352"/>
      <c r="E90" s="1352"/>
      <c r="F90" s="1352"/>
      <c r="G90" s="1352"/>
      <c r="H90" s="1352"/>
      <c r="I90" s="1352"/>
      <c r="J90" s="1352"/>
      <c r="K90" s="461" t="s">
        <v>205</v>
      </c>
      <c r="L90" s="462" t="s">
        <v>59</v>
      </c>
      <c r="M90" s="462">
        <f>MAX(M88,M89)</f>
        <v>6.25E-2</v>
      </c>
      <c r="N90" s="462">
        <f>N88+N89</f>
        <v>0.30159999999999998</v>
      </c>
      <c r="O90" s="901">
        <f>M90</f>
        <v>6.25E-2</v>
      </c>
      <c r="P90" s="901">
        <f>N90</f>
        <v>0.30159999999999998</v>
      </c>
      <c r="Q90" s="150"/>
    </row>
    <row r="91" spans="1:19" ht="15" customHeight="1" x14ac:dyDescent="0.25">
      <c r="A91" s="1353" t="s">
        <v>284</v>
      </c>
      <c r="B91" s="1358"/>
      <c r="C91" s="1358"/>
      <c r="D91" s="1358"/>
      <c r="E91" s="1358"/>
      <c r="F91" s="1358"/>
      <c r="G91" s="1358"/>
      <c r="H91" s="1358"/>
      <c r="I91" s="1358"/>
      <c r="J91" s="1358"/>
      <c r="K91" s="1358"/>
      <c r="L91" s="1358"/>
      <c r="M91" s="1358"/>
      <c r="N91" s="1359"/>
      <c r="O91" s="908"/>
      <c r="P91" s="908"/>
    </row>
    <row r="92" spans="1:19" ht="15" customHeight="1" x14ac:dyDescent="0.25">
      <c r="A92" s="1360" t="s">
        <v>496</v>
      </c>
      <c r="B92" s="431" t="s">
        <v>339</v>
      </c>
      <c r="C92" s="432" t="s">
        <v>101</v>
      </c>
      <c r="D92" s="433">
        <v>320.10000000000002</v>
      </c>
      <c r="E92" s="12" t="s">
        <v>340</v>
      </c>
      <c r="F92" s="433" t="s">
        <v>102</v>
      </c>
      <c r="G92" s="12">
        <v>28</v>
      </c>
      <c r="H92" s="433">
        <v>72</v>
      </c>
      <c r="I92" s="345">
        <v>64.5</v>
      </c>
      <c r="J92" s="345">
        <v>50</v>
      </c>
      <c r="K92" s="434" t="s">
        <v>115</v>
      </c>
      <c r="L92" s="13">
        <v>1210</v>
      </c>
      <c r="M92" s="12">
        <f>ROUND(((E92*I92*J92* (G92+H92))/(1000000*3.6)),4)</f>
        <v>8.9599999999999999E-2</v>
      </c>
      <c r="N92" s="435">
        <f>ROUND(((D92*I92*J92*(G92+H92))/1000000000),4)</f>
        <v>0.1032</v>
      </c>
      <c r="O92" s="25"/>
      <c r="P92" s="25"/>
    </row>
    <row r="93" spans="1:19" ht="15" customHeight="1" x14ac:dyDescent="0.25">
      <c r="A93" s="1361"/>
      <c r="B93" s="436"/>
      <c r="C93" s="437"/>
      <c r="D93" s="153"/>
      <c r="E93" s="339"/>
      <c r="F93" s="153"/>
      <c r="G93" s="339"/>
      <c r="H93" s="153"/>
      <c r="I93" s="235"/>
      <c r="J93" s="235">
        <v>20</v>
      </c>
      <c r="K93" s="438" t="s">
        <v>111</v>
      </c>
      <c r="L93" s="421" t="s">
        <v>112</v>
      </c>
      <c r="M93" s="339">
        <f>ROUND(((E92*I92*J92* (G92+H92))/(1000000*3.6)),4)</f>
        <v>8.9599999999999999E-2</v>
      </c>
      <c r="N93" s="439">
        <f>ROUND(((D92*I92*J93*(G92+H92))/1000000000),5)</f>
        <v>4.129E-2</v>
      </c>
      <c r="O93" s="25"/>
      <c r="P93" s="25"/>
    </row>
    <row r="94" spans="1:19" ht="15" customHeight="1" x14ac:dyDescent="0.25">
      <c r="A94" s="1361"/>
      <c r="B94" s="436"/>
      <c r="C94" s="437"/>
      <c r="D94" s="153"/>
      <c r="E94" s="339"/>
      <c r="F94" s="153"/>
      <c r="G94" s="339"/>
      <c r="H94" s="153"/>
      <c r="I94" s="235"/>
      <c r="J94" s="235">
        <v>10</v>
      </c>
      <c r="K94" s="438" t="s">
        <v>274</v>
      </c>
      <c r="L94" s="153" t="s">
        <v>275</v>
      </c>
      <c r="M94" s="339">
        <f>ROUND(((E92*I92*J94* (G92+H92))/(1000000*3.6)),4)</f>
        <v>1.7899999999999999E-2</v>
      </c>
      <c r="N94" s="439">
        <f>ROUND(((D92*I92*J94*(G92+H92))/1000000000),4)</f>
        <v>2.06E-2</v>
      </c>
      <c r="O94" s="25"/>
      <c r="P94" s="25"/>
    </row>
    <row r="95" spans="1:19" ht="15" customHeight="1" x14ac:dyDescent="0.25">
      <c r="A95" s="1361"/>
      <c r="B95" s="440"/>
      <c r="C95" s="441"/>
      <c r="D95" s="442"/>
      <c r="E95" s="340"/>
      <c r="F95" s="442"/>
      <c r="G95" s="340"/>
      <c r="H95" s="442"/>
      <c r="I95" s="346"/>
      <c r="J95" s="346">
        <v>20</v>
      </c>
      <c r="K95" s="443" t="s">
        <v>117</v>
      </c>
      <c r="L95" s="430" t="s">
        <v>118</v>
      </c>
      <c r="M95" s="340">
        <f>ROUND(((E92*I92*J95* (G92+H92))/(1000000*3.6)),4)</f>
        <v>3.5799999999999998E-2</v>
      </c>
      <c r="N95" s="444">
        <f>ROUND(((D92*I92*J95*(G92+H92))/1000000000),4)</f>
        <v>4.1300000000000003E-2</v>
      </c>
      <c r="O95" s="25"/>
      <c r="P95" s="25"/>
    </row>
    <row r="96" spans="1:19" ht="15" customHeight="1" x14ac:dyDescent="0.25">
      <c r="A96" s="1361"/>
      <c r="B96" s="413" t="s">
        <v>110</v>
      </c>
      <c r="C96" s="413" t="s">
        <v>101</v>
      </c>
      <c r="D96" s="13">
        <v>86.4</v>
      </c>
      <c r="E96" s="13" t="s">
        <v>122</v>
      </c>
      <c r="F96" s="13" t="s">
        <v>102</v>
      </c>
      <c r="G96" s="13">
        <v>28</v>
      </c>
      <c r="H96" s="13">
        <v>72</v>
      </c>
      <c r="I96" s="13">
        <v>45</v>
      </c>
      <c r="J96" s="227">
        <v>50</v>
      </c>
      <c r="K96" s="463" t="s">
        <v>103</v>
      </c>
      <c r="L96" s="13" t="s">
        <v>104</v>
      </c>
      <c r="M96" s="415">
        <f>ROUND(((E96*I96*J96* (G96+H96))/(1000000*3.6)),4)</f>
        <v>3.1300000000000001E-2</v>
      </c>
      <c r="N96" s="13">
        <f>ROUND(((D96*I96*J96*(G96+H96))/1000000000),4)</f>
        <v>1.9400000000000001E-2</v>
      </c>
      <c r="O96" s="900"/>
      <c r="P96" s="900"/>
      <c r="Q96" s="50"/>
      <c r="R96" s="9"/>
    </row>
    <row r="97" spans="1:18" ht="15" customHeight="1" x14ac:dyDescent="0.25">
      <c r="A97" s="1361"/>
      <c r="B97" s="424"/>
      <c r="C97" s="425"/>
      <c r="D97" s="426"/>
      <c r="E97" s="426"/>
      <c r="F97" s="426"/>
      <c r="G97" s="426"/>
      <c r="H97" s="426"/>
      <c r="I97" s="426"/>
      <c r="J97" s="427">
        <v>50</v>
      </c>
      <c r="K97" s="443" t="s">
        <v>106</v>
      </c>
      <c r="L97" s="340" t="s">
        <v>107</v>
      </c>
      <c r="M97" s="430">
        <f>ROUND(((E96*I96*J97* (G96+H96))/(1000000*3.6)),4)</f>
        <v>3.1300000000000001E-2</v>
      </c>
      <c r="N97" s="429">
        <f>ROUND(((D96*I96*J97*(G96+H96))/1000000000),4)</f>
        <v>1.9400000000000001E-2</v>
      </c>
      <c r="O97" s="900"/>
      <c r="P97" s="900"/>
      <c r="Q97" s="49"/>
      <c r="R97" s="51"/>
    </row>
    <row r="98" spans="1:18" ht="20.25" customHeight="1" x14ac:dyDescent="0.25">
      <c r="A98" s="1377"/>
      <c r="B98" s="464" t="s">
        <v>100</v>
      </c>
      <c r="C98" s="464" t="s">
        <v>101</v>
      </c>
      <c r="D98" s="226">
        <v>79.2</v>
      </c>
      <c r="E98" s="226" t="s">
        <v>122</v>
      </c>
      <c r="F98" s="226" t="s">
        <v>102</v>
      </c>
      <c r="G98" s="226">
        <v>28</v>
      </c>
      <c r="H98" s="226">
        <v>72</v>
      </c>
      <c r="I98" s="226">
        <v>45</v>
      </c>
      <c r="J98" s="465">
        <v>100</v>
      </c>
      <c r="K98" s="466" t="s">
        <v>103</v>
      </c>
      <c r="L98" s="183" t="s">
        <v>104</v>
      </c>
      <c r="M98" s="467">
        <f>ROUND(((E98*I98*J98* (G98+H98))/(1000000*3.6)),4)</f>
        <v>6.25E-2</v>
      </c>
      <c r="N98" s="226">
        <f>ROUND(((D98*I98*J98*(G98+H98))/1000000000),5)</f>
        <v>3.5639999999999998E-2</v>
      </c>
      <c r="O98" s="900"/>
      <c r="P98" s="900"/>
      <c r="Q98" s="50"/>
      <c r="R98" s="9"/>
    </row>
    <row r="99" spans="1:18" s="148" customFormat="1" ht="15" customHeight="1" x14ac:dyDescent="0.25">
      <c r="A99" s="1352" t="s">
        <v>497</v>
      </c>
      <c r="B99" s="1352"/>
      <c r="C99" s="1352"/>
      <c r="D99" s="1352"/>
      <c r="E99" s="1352"/>
      <c r="F99" s="1352"/>
      <c r="G99" s="1352"/>
      <c r="H99" s="1352"/>
      <c r="I99" s="1352"/>
      <c r="J99" s="1352"/>
      <c r="K99" s="468" t="s">
        <v>115</v>
      </c>
      <c r="L99" s="449">
        <v>1210</v>
      </c>
      <c r="M99" s="449">
        <f t="shared" ref="M99:N102" si="0">M92</f>
        <v>8.9599999999999999E-2</v>
      </c>
      <c r="N99" s="449">
        <f t="shared" si="0"/>
        <v>0.1032</v>
      </c>
      <c r="O99" s="902"/>
      <c r="P99" s="902"/>
      <c r="Q99" s="150"/>
    </row>
    <row r="100" spans="1:18" s="148" customFormat="1" ht="15" customHeight="1" x14ac:dyDescent="0.25">
      <c r="A100" s="1352"/>
      <c r="B100" s="1352"/>
      <c r="C100" s="1352"/>
      <c r="D100" s="1352"/>
      <c r="E100" s="1352"/>
      <c r="F100" s="1352"/>
      <c r="G100" s="1352"/>
      <c r="H100" s="1352"/>
      <c r="I100" s="1352"/>
      <c r="J100" s="1352"/>
      <c r="K100" s="450" t="s">
        <v>111</v>
      </c>
      <c r="L100" s="451" t="s">
        <v>112</v>
      </c>
      <c r="M100" s="451">
        <f t="shared" si="0"/>
        <v>8.9599999999999999E-2</v>
      </c>
      <c r="N100" s="451">
        <f t="shared" si="0"/>
        <v>4.129E-2</v>
      </c>
      <c r="O100" s="902"/>
      <c r="P100" s="902"/>
      <c r="Q100" s="150"/>
    </row>
    <row r="101" spans="1:18" s="148" customFormat="1" ht="15" customHeight="1" x14ac:dyDescent="0.25">
      <c r="A101" s="1352"/>
      <c r="B101" s="1352"/>
      <c r="C101" s="1352"/>
      <c r="D101" s="1352"/>
      <c r="E101" s="1352"/>
      <c r="F101" s="1352"/>
      <c r="G101" s="1352"/>
      <c r="H101" s="1352"/>
      <c r="I101" s="1352"/>
      <c r="J101" s="1352"/>
      <c r="K101" s="450" t="s">
        <v>274</v>
      </c>
      <c r="L101" s="452" t="s">
        <v>275</v>
      </c>
      <c r="M101" s="451">
        <f t="shared" si="0"/>
        <v>1.7899999999999999E-2</v>
      </c>
      <c r="N101" s="451">
        <f t="shared" si="0"/>
        <v>2.06E-2</v>
      </c>
      <c r="O101" s="902"/>
      <c r="P101" s="902"/>
      <c r="Q101" s="150"/>
    </row>
    <row r="102" spans="1:18" s="148" customFormat="1" ht="15" customHeight="1" x14ac:dyDescent="0.25">
      <c r="A102" s="1352"/>
      <c r="B102" s="1352"/>
      <c r="C102" s="1352"/>
      <c r="D102" s="1352"/>
      <c r="E102" s="1352"/>
      <c r="F102" s="1352"/>
      <c r="G102" s="1352"/>
      <c r="H102" s="1352"/>
      <c r="I102" s="1352"/>
      <c r="J102" s="1352"/>
      <c r="K102" s="450" t="s">
        <v>117</v>
      </c>
      <c r="L102" s="451" t="s">
        <v>118</v>
      </c>
      <c r="M102" s="451">
        <f t="shared" si="0"/>
        <v>3.5799999999999998E-2</v>
      </c>
      <c r="N102" s="451">
        <f t="shared" si="0"/>
        <v>4.1300000000000003E-2</v>
      </c>
      <c r="O102" s="902"/>
      <c r="P102" s="902"/>
      <c r="Q102" s="150"/>
    </row>
    <row r="103" spans="1:18" s="148" customFormat="1" ht="15" customHeight="1" x14ac:dyDescent="0.25">
      <c r="A103" s="1352"/>
      <c r="B103" s="1352"/>
      <c r="C103" s="1352"/>
      <c r="D103" s="1352"/>
      <c r="E103" s="1352"/>
      <c r="F103" s="1352"/>
      <c r="G103" s="1352"/>
      <c r="H103" s="1352"/>
      <c r="I103" s="1352"/>
      <c r="J103" s="1352"/>
      <c r="K103" s="469" t="s">
        <v>103</v>
      </c>
      <c r="L103" s="452" t="s">
        <v>104</v>
      </c>
      <c r="M103" s="451">
        <f>MAX(M96,M98)</f>
        <v>6.25E-2</v>
      </c>
      <c r="N103" s="451">
        <f>N96+N98</f>
        <v>5.5039999999999999E-2</v>
      </c>
      <c r="O103" s="902"/>
      <c r="P103" s="902"/>
      <c r="Q103" s="150"/>
    </row>
    <row r="104" spans="1:18" s="148" customFormat="1" ht="15" customHeight="1" x14ac:dyDescent="0.25">
      <c r="A104" s="1352"/>
      <c r="B104" s="1352"/>
      <c r="C104" s="1352"/>
      <c r="D104" s="1352"/>
      <c r="E104" s="1352"/>
      <c r="F104" s="1352"/>
      <c r="G104" s="1352"/>
      <c r="H104" s="1352"/>
      <c r="I104" s="1352"/>
      <c r="J104" s="1352"/>
      <c r="K104" s="454" t="s">
        <v>106</v>
      </c>
      <c r="L104" s="456" t="s">
        <v>107</v>
      </c>
      <c r="M104" s="456">
        <f>M97</f>
        <v>3.1300000000000001E-2</v>
      </c>
      <c r="N104" s="456">
        <f>N97</f>
        <v>1.9400000000000001E-2</v>
      </c>
      <c r="O104" s="901">
        <f>SUM(M99:M104)</f>
        <v>0.32669999999999999</v>
      </c>
      <c r="P104" s="901">
        <f>SUM(N99:N104)</f>
        <v>0.28083000000000002</v>
      </c>
      <c r="Q104" s="150"/>
    </row>
    <row r="105" spans="1:18" ht="15" customHeight="1" x14ac:dyDescent="0.25">
      <c r="A105" s="1353" t="s">
        <v>286</v>
      </c>
      <c r="B105" s="1358"/>
      <c r="C105" s="1358"/>
      <c r="D105" s="1358"/>
      <c r="E105" s="1358"/>
      <c r="F105" s="1358"/>
      <c r="G105" s="1358"/>
      <c r="H105" s="1358"/>
      <c r="I105" s="1358"/>
      <c r="J105" s="1358"/>
      <c r="K105" s="1358"/>
      <c r="L105" s="1358"/>
      <c r="M105" s="1358"/>
      <c r="N105" s="1359"/>
      <c r="O105" s="908"/>
      <c r="P105" s="908"/>
    </row>
    <row r="106" spans="1:18" ht="15" customHeight="1" x14ac:dyDescent="0.25">
      <c r="A106" s="1360">
        <v>7098</v>
      </c>
      <c r="B106" s="413" t="s">
        <v>110</v>
      </c>
      <c r="C106" s="413" t="s">
        <v>101</v>
      </c>
      <c r="D106" s="13">
        <v>50</v>
      </c>
      <c r="E106" s="13" t="s">
        <v>122</v>
      </c>
      <c r="F106" s="13" t="s">
        <v>102</v>
      </c>
      <c r="G106" s="13">
        <v>28</v>
      </c>
      <c r="H106" s="13">
        <v>72</v>
      </c>
      <c r="I106" s="13">
        <v>45</v>
      </c>
      <c r="J106" s="227">
        <v>50</v>
      </c>
      <c r="K106" s="463" t="s">
        <v>103</v>
      </c>
      <c r="L106" s="13" t="s">
        <v>104</v>
      </c>
      <c r="M106" s="415">
        <f>ROUND(((E106*I106*J106* (G106+H106))/(1000000*3.6)),4)</f>
        <v>3.1300000000000001E-2</v>
      </c>
      <c r="N106" s="13">
        <f>ROUND(((D106*I106*J106*(G106+H106))/1000000000),4)</f>
        <v>1.1299999999999999E-2</v>
      </c>
      <c r="O106" s="900"/>
      <c r="P106" s="900"/>
      <c r="Q106" s="50"/>
      <c r="R106" s="9"/>
    </row>
    <row r="107" spans="1:18" ht="15" customHeight="1" x14ac:dyDescent="0.25">
      <c r="A107" s="1361"/>
      <c r="B107" s="424"/>
      <c r="C107" s="425"/>
      <c r="D107" s="426"/>
      <c r="E107" s="426"/>
      <c r="F107" s="426"/>
      <c r="G107" s="426"/>
      <c r="H107" s="426"/>
      <c r="I107" s="426"/>
      <c r="J107" s="427">
        <v>50</v>
      </c>
      <c r="K107" s="443" t="s">
        <v>106</v>
      </c>
      <c r="L107" s="340" t="s">
        <v>107</v>
      </c>
      <c r="M107" s="430">
        <f>ROUND(((E106*I106*J107* (G106+H106))/(1000000*3.6)),4)</f>
        <v>3.1300000000000001E-2</v>
      </c>
      <c r="N107" s="429">
        <f>ROUND(((D106*I106*J107*(G106+H106))/1000000000),4)</f>
        <v>1.1299999999999999E-2</v>
      </c>
      <c r="O107" s="900"/>
      <c r="P107" s="900"/>
      <c r="Q107" s="50"/>
      <c r="R107" s="9"/>
    </row>
    <row r="108" spans="1:18" ht="15" customHeight="1" x14ac:dyDescent="0.25">
      <c r="A108" s="1377"/>
      <c r="B108" s="464" t="s">
        <v>100</v>
      </c>
      <c r="C108" s="464" t="s">
        <v>101</v>
      </c>
      <c r="D108" s="226">
        <v>58.5</v>
      </c>
      <c r="E108" s="226" t="s">
        <v>122</v>
      </c>
      <c r="F108" s="226" t="s">
        <v>102</v>
      </c>
      <c r="G108" s="226">
        <v>28</v>
      </c>
      <c r="H108" s="226">
        <v>72</v>
      </c>
      <c r="I108" s="226">
        <v>45</v>
      </c>
      <c r="J108" s="465">
        <v>100</v>
      </c>
      <c r="K108" s="466" t="s">
        <v>103</v>
      </c>
      <c r="L108" s="183" t="s">
        <v>104</v>
      </c>
      <c r="M108" s="467">
        <f>ROUND(((E108*I108*J108* (G108+H108))/(1000000*3.6)),4)</f>
        <v>6.25E-2</v>
      </c>
      <c r="N108" s="226">
        <f>ROUND(((D108*I108*J108*(G108+H108))/1000000000),5)</f>
        <v>2.6329999999999999E-2</v>
      </c>
      <c r="O108" s="900"/>
      <c r="P108" s="900"/>
      <c r="Q108" s="50"/>
      <c r="R108" s="9"/>
    </row>
    <row r="109" spans="1:18" s="148" customFormat="1" ht="15" customHeight="1" x14ac:dyDescent="0.25">
      <c r="A109" s="1352" t="s">
        <v>1054</v>
      </c>
      <c r="B109" s="1352"/>
      <c r="C109" s="1352"/>
      <c r="D109" s="1352"/>
      <c r="E109" s="1352"/>
      <c r="F109" s="1352"/>
      <c r="G109" s="1352"/>
      <c r="H109" s="1352"/>
      <c r="I109" s="1352"/>
      <c r="J109" s="1352"/>
      <c r="K109" s="447" t="s">
        <v>103</v>
      </c>
      <c r="L109" s="448" t="s">
        <v>104</v>
      </c>
      <c r="M109" s="449">
        <f>MAX(M106,M108)</f>
        <v>6.25E-2</v>
      </c>
      <c r="N109" s="449">
        <f>N106+N108</f>
        <v>3.7629999999999997E-2</v>
      </c>
      <c r="O109" s="902"/>
      <c r="P109" s="902"/>
      <c r="Q109" s="150"/>
    </row>
    <row r="110" spans="1:18" s="148" customFormat="1" ht="15" customHeight="1" x14ac:dyDescent="0.25">
      <c r="A110" s="1352"/>
      <c r="B110" s="1352"/>
      <c r="C110" s="1352"/>
      <c r="D110" s="1352"/>
      <c r="E110" s="1352"/>
      <c r="F110" s="1352"/>
      <c r="G110" s="1352"/>
      <c r="H110" s="1352"/>
      <c r="I110" s="1352"/>
      <c r="J110" s="1352"/>
      <c r="K110" s="454" t="s">
        <v>106</v>
      </c>
      <c r="L110" s="456" t="s">
        <v>107</v>
      </c>
      <c r="M110" s="456">
        <f>M107</f>
        <v>3.1300000000000001E-2</v>
      </c>
      <c r="N110" s="456">
        <f>N107</f>
        <v>1.1299999999999999E-2</v>
      </c>
      <c r="O110" s="901">
        <f>SUM(M109:M110)</f>
        <v>9.3799999999999994E-2</v>
      </c>
      <c r="P110" s="901">
        <f>SUM(N109:N110)</f>
        <v>4.8929999999999994E-2</v>
      </c>
      <c r="Q110" s="150"/>
    </row>
    <row r="111" spans="1:18" ht="16.5" customHeight="1" x14ac:dyDescent="0.3">
      <c r="A111" s="1401" t="s">
        <v>11</v>
      </c>
      <c r="B111" s="1402"/>
      <c r="C111" s="1402"/>
      <c r="D111" s="1402"/>
      <c r="E111" s="1402"/>
      <c r="F111" s="1402"/>
      <c r="G111" s="1402"/>
      <c r="H111" s="1402"/>
      <c r="I111" s="1402"/>
      <c r="J111" s="1402"/>
      <c r="K111" s="1402"/>
      <c r="L111" s="1402"/>
      <c r="M111" s="1402"/>
      <c r="N111" s="1403"/>
      <c r="O111" s="909">
        <f>SUM(O51:O110)</f>
        <v>0.89679999999999993</v>
      </c>
      <c r="P111" s="909">
        <f>SUM(P51:P110)</f>
        <v>1.20068</v>
      </c>
      <c r="Q111" s="910">
        <v>2026</v>
      </c>
      <c r="R111" s="51"/>
    </row>
    <row r="112" spans="1:18" ht="15" customHeight="1" x14ac:dyDescent="0.25">
      <c r="A112" s="1371" t="s">
        <v>204</v>
      </c>
      <c r="B112" s="1372"/>
      <c r="C112" s="1372"/>
      <c r="D112" s="1372"/>
      <c r="E112" s="1372"/>
      <c r="F112" s="1372"/>
      <c r="G112" s="1372"/>
      <c r="H112" s="1372"/>
      <c r="I112" s="1372"/>
      <c r="J112" s="1372"/>
      <c r="K112" s="1372"/>
      <c r="L112" s="1372"/>
      <c r="M112" s="1372"/>
      <c r="N112" s="1373"/>
      <c r="O112" s="908"/>
      <c r="P112" s="908"/>
      <c r="Q112" s="49"/>
      <c r="R112" s="51"/>
    </row>
    <row r="113" spans="1:19" ht="15" customHeight="1" x14ac:dyDescent="0.25">
      <c r="A113" s="1356">
        <v>7011</v>
      </c>
      <c r="B113" s="431" t="s">
        <v>119</v>
      </c>
      <c r="C113" s="432" t="s">
        <v>101</v>
      </c>
      <c r="D113" s="433">
        <v>216.3</v>
      </c>
      <c r="E113" s="12" t="s">
        <v>122</v>
      </c>
      <c r="F113" s="433" t="s">
        <v>102</v>
      </c>
      <c r="G113" s="12">
        <v>28</v>
      </c>
      <c r="H113" s="433">
        <v>72</v>
      </c>
      <c r="I113" s="345">
        <v>76.5</v>
      </c>
      <c r="J113" s="345">
        <v>4</v>
      </c>
      <c r="K113" s="470" t="s">
        <v>113</v>
      </c>
      <c r="L113" s="433" t="s">
        <v>114</v>
      </c>
      <c r="M113" s="12">
        <f>ROUND(((E113*I113*J113* (G113+H113))/(1000000*3.6)),4)</f>
        <v>4.3E-3</v>
      </c>
      <c r="N113" s="435">
        <f>ROUND(((D113*I113*J113*(G113+H113))/1000000000),4)</f>
        <v>6.6E-3</v>
      </c>
      <c r="O113" s="25"/>
      <c r="P113" s="25"/>
      <c r="Q113" s="50"/>
      <c r="R113" s="9"/>
    </row>
    <row r="114" spans="1:19" ht="15" customHeight="1" x14ac:dyDescent="0.25">
      <c r="A114" s="1356"/>
      <c r="B114" s="436" t="s">
        <v>316</v>
      </c>
      <c r="C114" s="437"/>
      <c r="D114" s="153"/>
      <c r="E114" s="339"/>
      <c r="F114" s="153"/>
      <c r="G114" s="339"/>
      <c r="H114" s="153"/>
      <c r="I114" s="235"/>
      <c r="J114" s="235">
        <v>4</v>
      </c>
      <c r="K114" s="438" t="s">
        <v>111</v>
      </c>
      <c r="L114" s="421" t="s">
        <v>112</v>
      </c>
      <c r="M114" s="339">
        <f>ROUND(((E113*I113*J113* (G113+H113))/(1000000*3.6)),4)</f>
        <v>4.3E-3</v>
      </c>
      <c r="N114" s="439">
        <f>ROUND(((D113*I113*J114*(G113+H113))/1000000000),5)</f>
        <v>6.62E-3</v>
      </c>
      <c r="O114" s="25"/>
      <c r="P114" s="25"/>
      <c r="Q114" s="50"/>
      <c r="R114" s="9"/>
    </row>
    <row r="115" spans="1:19" ht="15" customHeight="1" x14ac:dyDescent="0.25">
      <c r="A115" s="1356"/>
      <c r="B115" s="436"/>
      <c r="C115" s="437"/>
      <c r="D115" s="153"/>
      <c r="E115" s="339"/>
      <c r="F115" s="153"/>
      <c r="G115" s="339"/>
      <c r="H115" s="153"/>
      <c r="I115" s="235"/>
      <c r="J115" s="235">
        <v>33</v>
      </c>
      <c r="K115" s="438" t="s">
        <v>115</v>
      </c>
      <c r="L115" s="153" t="s">
        <v>116</v>
      </c>
      <c r="M115" s="339">
        <f>ROUND(((E113*I113*J115* (G113+H113))/(1000000*3.6)),4)</f>
        <v>3.5099999999999999E-2</v>
      </c>
      <c r="N115" s="439">
        <f>ROUND(((D113*I113*J115*(G113+H113))/1000000000),4)</f>
        <v>5.4600000000000003E-2</v>
      </c>
      <c r="O115" s="25"/>
      <c r="P115" s="25"/>
      <c r="Q115" s="50"/>
      <c r="R115" s="9"/>
    </row>
    <row r="116" spans="1:19" ht="15" customHeight="1" x14ac:dyDescent="0.25">
      <c r="A116" s="1356"/>
      <c r="B116" s="436"/>
      <c r="C116" s="437"/>
      <c r="D116" s="153"/>
      <c r="E116" s="339"/>
      <c r="F116" s="153"/>
      <c r="G116" s="339"/>
      <c r="H116" s="153"/>
      <c r="I116" s="235"/>
      <c r="J116" s="235">
        <v>16</v>
      </c>
      <c r="K116" s="471" t="s">
        <v>120</v>
      </c>
      <c r="L116" s="153" t="s">
        <v>121</v>
      </c>
      <c r="M116" s="339">
        <f>ROUND(((E113*I113*J116* (G113+H113))/(1000000*3.6)),4)</f>
        <v>1.7000000000000001E-2</v>
      </c>
      <c r="N116" s="439">
        <f>ROUND(((D113*I113*J116*(G113+H113))/1000000000),4)</f>
        <v>2.6499999999999999E-2</v>
      </c>
      <c r="O116" s="25"/>
      <c r="P116" s="25"/>
      <c r="Q116" s="50"/>
      <c r="R116" s="9"/>
    </row>
    <row r="117" spans="1:19" ht="15" customHeight="1" x14ac:dyDescent="0.25">
      <c r="A117" s="1356"/>
      <c r="B117" s="440"/>
      <c r="C117" s="441"/>
      <c r="D117" s="442"/>
      <c r="E117" s="340"/>
      <c r="F117" s="442"/>
      <c r="G117" s="340"/>
      <c r="H117" s="442"/>
      <c r="I117" s="346"/>
      <c r="J117" s="346">
        <v>43</v>
      </c>
      <c r="K117" s="438" t="s">
        <v>117</v>
      </c>
      <c r="L117" s="421" t="s">
        <v>118</v>
      </c>
      <c r="M117" s="339">
        <f>ROUND(((E113*I113*J117* (G113+H113))/(1000000*3.6)),4)</f>
        <v>4.5699999999999998E-2</v>
      </c>
      <c r="N117" s="439">
        <f>ROUND(((D113*I113*J117*(G113+H113))/1000000000),4)</f>
        <v>7.1199999999999999E-2</v>
      </c>
      <c r="O117" s="25"/>
      <c r="P117" s="25"/>
      <c r="Q117" s="50"/>
      <c r="R117" s="9"/>
    </row>
    <row r="118" spans="1:19" ht="30" customHeight="1" x14ac:dyDescent="0.25">
      <c r="A118" s="1356"/>
      <c r="B118" s="472" t="s">
        <v>322</v>
      </c>
      <c r="C118" s="473" t="s">
        <v>101</v>
      </c>
      <c r="D118" s="412">
        <v>92.1</v>
      </c>
      <c r="E118" s="412" t="s">
        <v>122</v>
      </c>
      <c r="F118" s="412" t="s">
        <v>102</v>
      </c>
      <c r="G118" s="412">
        <v>28</v>
      </c>
      <c r="H118" s="412">
        <v>72</v>
      </c>
      <c r="I118" s="412">
        <v>60</v>
      </c>
      <c r="J118" s="412">
        <v>100</v>
      </c>
      <c r="K118" s="472" t="s">
        <v>205</v>
      </c>
      <c r="L118" s="412" t="s">
        <v>59</v>
      </c>
      <c r="M118" s="412">
        <f>ROUND(((E118*I118*J118* (G118+H118))/(1000000*3.6)),4)</f>
        <v>8.3299999999999999E-2</v>
      </c>
      <c r="N118" s="412">
        <f>ROUND(((D118*I118*J118*(G118+H118))/1000000000),4)</f>
        <v>5.5300000000000002E-2</v>
      </c>
      <c r="O118" s="569"/>
      <c r="P118" s="569"/>
      <c r="Q118" s="49"/>
      <c r="R118" s="51"/>
    </row>
    <row r="119" spans="1:19" ht="15" customHeight="1" x14ac:dyDescent="0.25">
      <c r="A119" s="1356"/>
      <c r="B119" s="413" t="s">
        <v>317</v>
      </c>
      <c r="C119" s="413" t="s">
        <v>101</v>
      </c>
      <c r="D119" s="13">
        <v>318.7</v>
      </c>
      <c r="E119" s="13" t="s">
        <v>370</v>
      </c>
      <c r="F119" s="13" t="s">
        <v>102</v>
      </c>
      <c r="G119" s="13">
        <v>28</v>
      </c>
      <c r="H119" s="13">
        <v>72</v>
      </c>
      <c r="I119" s="13">
        <v>70</v>
      </c>
      <c r="J119" s="227">
        <v>20</v>
      </c>
      <c r="K119" s="434" t="s">
        <v>115</v>
      </c>
      <c r="L119" s="13">
        <v>1210</v>
      </c>
      <c r="M119" s="415">
        <f>ROUND(((E119*I119*J119* (G119+H119))/(1000000*3.6)),4)</f>
        <v>2.7199999999999998E-2</v>
      </c>
      <c r="N119" s="13">
        <f>ROUND(((D119*I119*J119*(G119+H119))/1000000000),4)</f>
        <v>4.4600000000000001E-2</v>
      </c>
      <c r="O119" s="747"/>
      <c r="P119" s="900"/>
    </row>
    <row r="120" spans="1:19" ht="15" customHeight="1" x14ac:dyDescent="0.25">
      <c r="A120" s="1356"/>
      <c r="B120" s="424" t="s">
        <v>318</v>
      </c>
      <c r="C120" s="425"/>
      <c r="D120" s="426"/>
      <c r="E120" s="426"/>
      <c r="F120" s="426"/>
      <c r="G120" s="426"/>
      <c r="H120" s="426"/>
      <c r="I120" s="426"/>
      <c r="J120" s="427">
        <v>80</v>
      </c>
      <c r="K120" s="443" t="s">
        <v>103</v>
      </c>
      <c r="L120" s="429" t="s">
        <v>104</v>
      </c>
      <c r="M120" s="430">
        <f>ROUND(((E119*I119*J120* (G119+H119))/(1000000*3.6)),4)</f>
        <v>0.1089</v>
      </c>
      <c r="N120" s="429">
        <f>ROUND(((D119*I119*J120*(G119+H119))/1000000000),4)</f>
        <v>0.17849999999999999</v>
      </c>
      <c r="O120" s="747"/>
      <c r="P120" s="900"/>
    </row>
    <row r="121" spans="1:19" ht="15" customHeight="1" x14ac:dyDescent="0.25">
      <c r="A121" s="1357"/>
      <c r="B121" s="413" t="s">
        <v>320</v>
      </c>
      <c r="C121" s="413" t="s">
        <v>101</v>
      </c>
      <c r="D121" s="13">
        <v>8.1</v>
      </c>
      <c r="E121" s="13" t="s">
        <v>122</v>
      </c>
      <c r="F121" s="13" t="s">
        <v>102</v>
      </c>
      <c r="G121" s="13">
        <v>28</v>
      </c>
      <c r="H121" s="13">
        <v>72</v>
      </c>
      <c r="I121" s="13">
        <v>50</v>
      </c>
      <c r="J121" s="227">
        <v>20</v>
      </c>
      <c r="K121" s="434" t="s">
        <v>115</v>
      </c>
      <c r="L121" s="13">
        <v>1210</v>
      </c>
      <c r="M121" s="415">
        <f>ROUND(((E121*I121*J121* (G121+H121))/(1000000*3.6)),4)</f>
        <v>1.3899999999999999E-2</v>
      </c>
      <c r="N121" s="13">
        <f>ROUND(((D121*I121*J121*(G121+H121))/1000000000),4)</f>
        <v>8.0000000000000004E-4</v>
      </c>
      <c r="O121" s="900"/>
      <c r="P121" s="900"/>
      <c r="Q121" s="50"/>
      <c r="R121" s="9"/>
      <c r="S121" s="9"/>
    </row>
    <row r="122" spans="1:19" ht="15" customHeight="1" x14ac:dyDescent="0.25">
      <c r="A122" s="1357"/>
      <c r="B122" s="424" t="s">
        <v>321</v>
      </c>
      <c r="C122" s="425"/>
      <c r="D122" s="426"/>
      <c r="E122" s="426"/>
      <c r="F122" s="426"/>
      <c r="G122" s="426"/>
      <c r="H122" s="426"/>
      <c r="I122" s="426"/>
      <c r="J122" s="427">
        <v>80</v>
      </c>
      <c r="K122" s="443" t="s">
        <v>103</v>
      </c>
      <c r="L122" s="429" t="s">
        <v>104</v>
      </c>
      <c r="M122" s="430">
        <f>ROUND(((E121*I121*J122* (G121+H121))/(1000000*3.6)),4)</f>
        <v>5.5599999999999997E-2</v>
      </c>
      <c r="N122" s="429">
        <f>ROUND(((D121*I121*J122*(G121+H121))/1000000000),4)</f>
        <v>3.2000000000000002E-3</v>
      </c>
      <c r="O122" s="900"/>
      <c r="P122" s="900"/>
      <c r="Q122" s="50"/>
      <c r="R122" s="9"/>
      <c r="S122" s="9"/>
    </row>
    <row r="123" spans="1:19" ht="30" customHeight="1" x14ac:dyDescent="0.25">
      <c r="A123" s="1352" t="s">
        <v>385</v>
      </c>
      <c r="B123" s="1352"/>
      <c r="C123" s="1352"/>
      <c r="D123" s="1352"/>
      <c r="E123" s="1352"/>
      <c r="F123" s="1352"/>
      <c r="G123" s="1352"/>
      <c r="H123" s="1352"/>
      <c r="I123" s="1352"/>
      <c r="J123" s="1352"/>
      <c r="K123" s="447" t="s">
        <v>205</v>
      </c>
      <c r="L123" s="448" t="s">
        <v>59</v>
      </c>
      <c r="M123" s="448">
        <f>M118</f>
        <v>8.3299999999999999E-2</v>
      </c>
      <c r="N123" s="448">
        <f>N118</f>
        <v>5.5300000000000002E-2</v>
      </c>
      <c r="O123" s="900"/>
      <c r="P123" s="900"/>
      <c r="Q123" s="49"/>
      <c r="R123" s="51"/>
    </row>
    <row r="124" spans="1:19" ht="15" customHeight="1" x14ac:dyDescent="0.25">
      <c r="A124" s="1352"/>
      <c r="B124" s="1352"/>
      <c r="C124" s="1352"/>
      <c r="D124" s="1352"/>
      <c r="E124" s="1352"/>
      <c r="F124" s="1352"/>
      <c r="G124" s="1352"/>
      <c r="H124" s="1352"/>
      <c r="I124" s="1352"/>
      <c r="J124" s="1352"/>
      <c r="K124" s="469" t="s">
        <v>103</v>
      </c>
      <c r="L124" s="452" t="s">
        <v>104</v>
      </c>
      <c r="M124" s="452">
        <f>MAX(M122,M120)</f>
        <v>0.1089</v>
      </c>
      <c r="N124" s="452">
        <f>N122+N120</f>
        <v>0.1817</v>
      </c>
      <c r="O124" s="25"/>
      <c r="P124" s="25"/>
      <c r="Q124" s="49"/>
      <c r="R124" s="51"/>
    </row>
    <row r="125" spans="1:19" ht="15" customHeight="1" x14ac:dyDescent="0.25">
      <c r="A125" s="1352"/>
      <c r="B125" s="1352"/>
      <c r="C125" s="1352"/>
      <c r="D125" s="1352"/>
      <c r="E125" s="1352"/>
      <c r="F125" s="1352"/>
      <c r="G125" s="1352"/>
      <c r="H125" s="1352"/>
      <c r="I125" s="1352"/>
      <c r="J125" s="1352"/>
      <c r="K125" s="469" t="s">
        <v>111</v>
      </c>
      <c r="L125" s="452" t="s">
        <v>112</v>
      </c>
      <c r="M125" s="452">
        <f>M114</f>
        <v>4.3E-3</v>
      </c>
      <c r="N125" s="452">
        <f>N114</f>
        <v>6.62E-3</v>
      </c>
      <c r="O125" s="25"/>
      <c r="P125" s="25"/>
      <c r="Q125" s="50"/>
      <c r="R125" s="51"/>
    </row>
    <row r="126" spans="1:19" ht="15" customHeight="1" x14ac:dyDescent="0.25">
      <c r="A126" s="1352"/>
      <c r="B126" s="1352"/>
      <c r="C126" s="1352"/>
      <c r="D126" s="1352"/>
      <c r="E126" s="1352"/>
      <c r="F126" s="1352"/>
      <c r="G126" s="1352"/>
      <c r="H126" s="1352"/>
      <c r="I126" s="1352"/>
      <c r="J126" s="1352"/>
      <c r="K126" s="469" t="s">
        <v>113</v>
      </c>
      <c r="L126" s="452" t="s">
        <v>114</v>
      </c>
      <c r="M126" s="452">
        <f>M113</f>
        <v>4.3E-3</v>
      </c>
      <c r="N126" s="452">
        <f>N113</f>
        <v>6.6E-3</v>
      </c>
      <c r="O126" s="25"/>
      <c r="P126" s="25"/>
      <c r="Q126" s="49"/>
      <c r="R126" s="51"/>
    </row>
    <row r="127" spans="1:19" ht="15" customHeight="1" x14ac:dyDescent="0.25">
      <c r="A127" s="1352"/>
      <c r="B127" s="1352"/>
      <c r="C127" s="1352"/>
      <c r="D127" s="1352"/>
      <c r="E127" s="1352"/>
      <c r="F127" s="1352"/>
      <c r="G127" s="1352"/>
      <c r="H127" s="1352"/>
      <c r="I127" s="1352"/>
      <c r="J127" s="1352"/>
      <c r="K127" s="469" t="s">
        <v>115</v>
      </c>
      <c r="L127" s="452" t="s">
        <v>116</v>
      </c>
      <c r="M127" s="452">
        <f>MAX(M115,M121,M119)</f>
        <v>3.5099999999999999E-2</v>
      </c>
      <c r="N127" s="452">
        <f>N115+N121+N119</f>
        <v>0.1</v>
      </c>
      <c r="O127" s="25"/>
      <c r="P127" s="25"/>
      <c r="Q127" s="49"/>
      <c r="R127" s="51"/>
    </row>
    <row r="128" spans="1:19" ht="15" customHeight="1" x14ac:dyDescent="0.25">
      <c r="A128" s="1352"/>
      <c r="B128" s="1352"/>
      <c r="C128" s="1352"/>
      <c r="D128" s="1352"/>
      <c r="E128" s="1352"/>
      <c r="F128" s="1352"/>
      <c r="G128" s="1352"/>
      <c r="H128" s="1352"/>
      <c r="I128" s="1352"/>
      <c r="J128" s="1352"/>
      <c r="K128" s="469" t="s">
        <v>120</v>
      </c>
      <c r="L128" s="453" t="s">
        <v>121</v>
      </c>
      <c r="M128" s="452">
        <f>M116</f>
        <v>1.7000000000000001E-2</v>
      </c>
      <c r="N128" s="452">
        <f>N116</f>
        <v>2.6499999999999999E-2</v>
      </c>
      <c r="O128" s="25"/>
      <c r="P128" s="25"/>
      <c r="Q128" s="49"/>
      <c r="R128" s="51"/>
    </row>
    <row r="129" spans="1:20" ht="15" customHeight="1" x14ac:dyDescent="0.25">
      <c r="A129" s="1352"/>
      <c r="B129" s="1352"/>
      <c r="C129" s="1352"/>
      <c r="D129" s="1352"/>
      <c r="E129" s="1352"/>
      <c r="F129" s="1352"/>
      <c r="G129" s="1352"/>
      <c r="H129" s="1352"/>
      <c r="I129" s="1352"/>
      <c r="J129" s="1352"/>
      <c r="K129" s="475" t="s">
        <v>117</v>
      </c>
      <c r="L129" s="456" t="s">
        <v>118</v>
      </c>
      <c r="M129" s="456">
        <f>M117</f>
        <v>4.5699999999999998E-2</v>
      </c>
      <c r="N129" s="456">
        <f>N117</f>
        <v>7.1199999999999999E-2</v>
      </c>
      <c r="O129" s="25">
        <f>SUM(M123:M129)</f>
        <v>0.29859999999999998</v>
      </c>
      <c r="P129" s="25">
        <f>SUM(N123:N129)</f>
        <v>0.44791999999999998</v>
      </c>
      <c r="Q129" s="49"/>
      <c r="R129" s="51"/>
    </row>
    <row r="130" spans="1:20" ht="15" customHeight="1" x14ac:dyDescent="0.25">
      <c r="A130" s="1353" t="s">
        <v>213</v>
      </c>
      <c r="B130" s="1358"/>
      <c r="C130" s="1358"/>
      <c r="D130" s="1358"/>
      <c r="E130" s="1358"/>
      <c r="F130" s="1358"/>
      <c r="G130" s="1358"/>
      <c r="H130" s="1358"/>
      <c r="I130" s="1358"/>
      <c r="J130" s="1358"/>
      <c r="K130" s="1358"/>
      <c r="L130" s="1358"/>
      <c r="M130" s="1358"/>
      <c r="N130" s="1359"/>
      <c r="O130" s="908"/>
      <c r="P130" s="908"/>
    </row>
    <row r="131" spans="1:20" ht="15" customHeight="1" x14ac:dyDescent="0.25">
      <c r="A131" s="1360">
        <v>7022</v>
      </c>
      <c r="B131" s="413" t="s">
        <v>105</v>
      </c>
      <c r="C131" s="413" t="s">
        <v>101</v>
      </c>
      <c r="D131" s="13">
        <v>43.7</v>
      </c>
      <c r="E131" s="13" t="s">
        <v>122</v>
      </c>
      <c r="F131" s="13" t="s">
        <v>102</v>
      </c>
      <c r="G131" s="13">
        <v>28</v>
      </c>
      <c r="H131" s="13">
        <v>72</v>
      </c>
      <c r="I131" s="13">
        <v>46</v>
      </c>
      <c r="J131" s="227">
        <v>28.7</v>
      </c>
      <c r="K131" s="414" t="s">
        <v>103</v>
      </c>
      <c r="L131" s="12" t="s">
        <v>104</v>
      </c>
      <c r="M131" s="415">
        <f>ROUND(((E131*I131*J131* (G131+H131))/(1000000*3.6)),4)</f>
        <v>1.83E-2</v>
      </c>
      <c r="N131" s="13">
        <f>ROUND(((D131*I131*J131*(G131+H131))/1000000000),5)</f>
        <v>5.77E-3</v>
      </c>
      <c r="O131" s="900"/>
      <c r="P131" s="900"/>
    </row>
    <row r="132" spans="1:20" ht="15" customHeight="1" x14ac:dyDescent="0.25">
      <c r="A132" s="1361"/>
      <c r="B132" s="417"/>
      <c r="C132" s="418"/>
      <c r="D132" s="417"/>
      <c r="E132" s="417"/>
      <c r="F132" s="417"/>
      <c r="G132" s="417"/>
      <c r="H132" s="417"/>
      <c r="I132" s="417"/>
      <c r="J132" s="419">
        <v>35.65</v>
      </c>
      <c r="K132" s="420" t="s">
        <v>106</v>
      </c>
      <c r="L132" s="339" t="s">
        <v>107</v>
      </c>
      <c r="M132" s="421">
        <f>ROUND(((E131*I131*J132* (G131+H131))/(1000000*3.6)),4)</f>
        <v>2.2800000000000001E-2</v>
      </c>
      <c r="N132" s="422">
        <f>ROUND(((D131*I131*J132*(G131+H131))/1000000000),4)</f>
        <v>7.1999999999999998E-3</v>
      </c>
      <c r="O132" s="900"/>
      <c r="P132" s="900"/>
    </row>
    <row r="133" spans="1:20" ht="15" customHeight="1" x14ac:dyDescent="0.25">
      <c r="A133" s="1377"/>
      <c r="B133" s="424"/>
      <c r="C133" s="425"/>
      <c r="D133" s="426"/>
      <c r="E133" s="426"/>
      <c r="F133" s="426"/>
      <c r="G133" s="426"/>
      <c r="H133" s="426"/>
      <c r="I133" s="426"/>
      <c r="J133" s="427">
        <v>35.65</v>
      </c>
      <c r="K133" s="428" t="s">
        <v>108</v>
      </c>
      <c r="L133" s="429" t="s">
        <v>109</v>
      </c>
      <c r="M133" s="430">
        <f>ROUND(((E131*I131*J133* (G131+H131))/(1000000*3.6)),4)</f>
        <v>2.2800000000000001E-2</v>
      </c>
      <c r="N133" s="429">
        <f>ROUND(((D131*I131*J133*(G131+H131))/1000000000),4)</f>
        <v>7.1999999999999998E-3</v>
      </c>
      <c r="O133" s="25">
        <f>SUM(M131:M133)</f>
        <v>6.3899999999999998E-2</v>
      </c>
      <c r="P133" s="25">
        <f>SUM(N131:N133)</f>
        <v>2.017E-2</v>
      </c>
    </row>
    <row r="134" spans="1:20" ht="15" customHeight="1" x14ac:dyDescent="0.25">
      <c r="A134" s="1353" t="s">
        <v>244</v>
      </c>
      <c r="B134" s="1358"/>
      <c r="C134" s="1358"/>
      <c r="D134" s="1358"/>
      <c r="E134" s="1358"/>
      <c r="F134" s="1358"/>
      <c r="G134" s="1358"/>
      <c r="H134" s="1358"/>
      <c r="I134" s="1358"/>
      <c r="J134" s="1358"/>
      <c r="K134" s="1358"/>
      <c r="L134" s="1358"/>
      <c r="M134" s="1358"/>
      <c r="N134" s="1359"/>
      <c r="O134" s="908"/>
      <c r="P134" s="908"/>
      <c r="Q134" s="49"/>
      <c r="R134" s="51"/>
    </row>
    <row r="135" spans="1:20" ht="30" customHeight="1" x14ac:dyDescent="0.25">
      <c r="A135" s="1360">
        <v>7050</v>
      </c>
      <c r="B135" s="476" t="s">
        <v>237</v>
      </c>
      <c r="C135" s="477" t="s">
        <v>101</v>
      </c>
      <c r="D135" s="474">
        <v>130.65</v>
      </c>
      <c r="E135" s="474" t="s">
        <v>448</v>
      </c>
      <c r="F135" s="474" t="s">
        <v>102</v>
      </c>
      <c r="G135" s="474">
        <v>28</v>
      </c>
      <c r="H135" s="474">
        <v>72</v>
      </c>
      <c r="I135" s="474">
        <v>60</v>
      </c>
      <c r="J135" s="474">
        <v>100</v>
      </c>
      <c r="K135" s="478" t="s">
        <v>205</v>
      </c>
      <c r="L135" s="474" t="s">
        <v>59</v>
      </c>
      <c r="M135" s="474">
        <f>ROUND(((E135*I135*J135* (G135+H135))/(1000000*3.6)),4)</f>
        <v>0.1333</v>
      </c>
      <c r="N135" s="474">
        <f>ROUND(((D135*I135*J135*(G135+H135))/1000000000),4)</f>
        <v>7.8399999999999997E-2</v>
      </c>
      <c r="O135" s="569"/>
      <c r="P135" s="569"/>
      <c r="Q135" s="50"/>
      <c r="R135" s="9"/>
      <c r="S135" s="9"/>
      <c r="T135" s="9" t="s">
        <v>254</v>
      </c>
    </row>
    <row r="136" spans="1:20" ht="15" customHeight="1" x14ac:dyDescent="0.25">
      <c r="A136" s="1361"/>
      <c r="B136" s="464" t="s">
        <v>100</v>
      </c>
      <c r="C136" s="464" t="s">
        <v>101</v>
      </c>
      <c r="D136" s="226">
        <v>0.8</v>
      </c>
      <c r="E136" s="226" t="s">
        <v>122</v>
      </c>
      <c r="F136" s="226" t="s">
        <v>102</v>
      </c>
      <c r="G136" s="226">
        <v>28</v>
      </c>
      <c r="H136" s="226">
        <v>72</v>
      </c>
      <c r="I136" s="226">
        <v>45</v>
      </c>
      <c r="J136" s="465">
        <v>100</v>
      </c>
      <c r="K136" s="466" t="s">
        <v>103</v>
      </c>
      <c r="L136" s="183" t="s">
        <v>104</v>
      </c>
      <c r="M136" s="467">
        <f>ROUND(((E136*I136*J136* (G136+H136))/(1000000*3.6)),4)</f>
        <v>6.25E-2</v>
      </c>
      <c r="N136" s="226">
        <f>ROUND(((D136*I136*J136*(G136+H136))/1000000000),5)</f>
        <v>3.6000000000000002E-4</v>
      </c>
      <c r="O136" s="900"/>
      <c r="P136" s="900"/>
      <c r="Q136" s="50"/>
      <c r="R136" s="9"/>
    </row>
    <row r="137" spans="1:20" ht="15" customHeight="1" x14ac:dyDescent="0.25">
      <c r="A137" s="1361"/>
      <c r="B137" s="418" t="s">
        <v>105</v>
      </c>
      <c r="C137" s="417" t="s">
        <v>101</v>
      </c>
      <c r="D137" s="422">
        <v>32.700000000000003</v>
      </c>
      <c r="E137" s="422" t="s">
        <v>122</v>
      </c>
      <c r="F137" s="422" t="s">
        <v>102</v>
      </c>
      <c r="G137" s="422">
        <v>28</v>
      </c>
      <c r="H137" s="422">
        <v>72</v>
      </c>
      <c r="I137" s="422">
        <v>46</v>
      </c>
      <c r="J137" s="419">
        <v>28.7</v>
      </c>
      <c r="K137" s="479" t="s">
        <v>103</v>
      </c>
      <c r="L137" s="339" t="s">
        <v>104</v>
      </c>
      <c r="M137" s="422">
        <f>ROUND(((E137*I137*J137* (G137+H137))/(1000000*3.6)),4)</f>
        <v>1.83E-2</v>
      </c>
      <c r="N137" s="480">
        <f>ROUND(((D137*I137*J137*(G137+H137))/1000000000),5)</f>
        <v>4.3200000000000001E-3</v>
      </c>
      <c r="O137" s="900"/>
      <c r="P137" s="900"/>
      <c r="Q137" s="50"/>
      <c r="R137" s="9"/>
    </row>
    <row r="138" spans="1:20" ht="15" customHeight="1" x14ac:dyDescent="0.25">
      <c r="A138" s="1361"/>
      <c r="B138" s="418"/>
      <c r="C138" s="418"/>
      <c r="D138" s="417"/>
      <c r="E138" s="417"/>
      <c r="F138" s="417"/>
      <c r="G138" s="417"/>
      <c r="H138" s="417"/>
      <c r="I138" s="417"/>
      <c r="J138" s="419">
        <v>35.65</v>
      </c>
      <c r="K138" s="420" t="s">
        <v>106</v>
      </c>
      <c r="L138" s="339" t="s">
        <v>107</v>
      </c>
      <c r="M138" s="422">
        <f>ROUND(((E137*I137*J138* (G137+H137))/(1000000*3.6)),4)</f>
        <v>2.2800000000000001E-2</v>
      </c>
      <c r="N138" s="480">
        <f>ROUND(((D137*I137*J138*(G137+H137))/1000000000),4)</f>
        <v>5.4000000000000003E-3</v>
      </c>
      <c r="O138" s="900"/>
      <c r="P138" s="900"/>
      <c r="Q138" s="50"/>
      <c r="R138" s="9"/>
    </row>
    <row r="139" spans="1:20" ht="15" customHeight="1" x14ac:dyDescent="0.25">
      <c r="A139" s="1361"/>
      <c r="B139" s="481"/>
      <c r="C139" s="425"/>
      <c r="D139" s="426"/>
      <c r="E139" s="426"/>
      <c r="F139" s="426"/>
      <c r="G139" s="426"/>
      <c r="H139" s="426"/>
      <c r="I139" s="426"/>
      <c r="J139" s="427">
        <v>35.65</v>
      </c>
      <c r="K139" s="428" t="s">
        <v>108</v>
      </c>
      <c r="L139" s="429" t="s">
        <v>109</v>
      </c>
      <c r="M139" s="429">
        <f>ROUND(((E137*I137*J139* (G137+H137))/(1000000*3.6)),4)</f>
        <v>2.2800000000000001E-2</v>
      </c>
      <c r="N139" s="482">
        <f>ROUND(((D137*I137*J139*(G137+H137))/1000000000),4)</f>
        <v>5.4000000000000003E-3</v>
      </c>
      <c r="O139" s="900"/>
      <c r="P139" s="900"/>
      <c r="Q139" s="50"/>
      <c r="R139" s="9"/>
    </row>
    <row r="140" spans="1:20" ht="30" customHeight="1" x14ac:dyDescent="0.25">
      <c r="A140" s="1361"/>
      <c r="B140" s="457" t="s">
        <v>211</v>
      </c>
      <c r="C140" s="458" t="s">
        <v>101</v>
      </c>
      <c r="D140" s="12">
        <v>2</v>
      </c>
      <c r="E140" s="12" t="s">
        <v>122</v>
      </c>
      <c r="F140" s="183" t="s">
        <v>102</v>
      </c>
      <c r="G140" s="183">
        <v>28</v>
      </c>
      <c r="H140" s="183">
        <v>72</v>
      </c>
      <c r="I140" s="12">
        <v>45</v>
      </c>
      <c r="J140" s="12">
        <v>100</v>
      </c>
      <c r="K140" s="459" t="s">
        <v>205</v>
      </c>
      <c r="L140" s="183" t="s">
        <v>59</v>
      </c>
      <c r="M140" s="183">
        <f>ROUND(((E140*I140*J140* (G140+H140))/(1000000*3.6)),4)</f>
        <v>6.25E-2</v>
      </c>
      <c r="N140" s="183">
        <f>ROUND(((D140*I140*J140*(G140+H140))/1000000000),4)</f>
        <v>8.9999999999999998E-4</v>
      </c>
      <c r="O140" s="25"/>
      <c r="P140" s="25"/>
      <c r="Q140" s="50"/>
      <c r="R140" s="9"/>
    </row>
    <row r="141" spans="1:20" ht="30" customHeight="1" x14ac:dyDescent="0.25">
      <c r="A141" s="1361"/>
      <c r="B141" s="460" t="s">
        <v>212</v>
      </c>
      <c r="C141" s="458" t="s">
        <v>101</v>
      </c>
      <c r="D141" s="12">
        <v>1</v>
      </c>
      <c r="E141" s="12" t="s">
        <v>122</v>
      </c>
      <c r="F141" s="183" t="s">
        <v>102</v>
      </c>
      <c r="G141" s="183">
        <v>28</v>
      </c>
      <c r="H141" s="183">
        <v>72</v>
      </c>
      <c r="I141" s="12">
        <v>45</v>
      </c>
      <c r="J141" s="12">
        <v>100</v>
      </c>
      <c r="K141" s="459" t="s">
        <v>205</v>
      </c>
      <c r="L141" s="183" t="s">
        <v>59</v>
      </c>
      <c r="M141" s="183">
        <f>ROUND(((E141*I141*J141* (G141+H141))/(1000000*3.6)),4)</f>
        <v>6.25E-2</v>
      </c>
      <c r="N141" s="183">
        <f>ROUND(((D141*I141*J141*(G141+H141))/1000000000),4)</f>
        <v>5.0000000000000001E-4</v>
      </c>
      <c r="O141" s="25"/>
      <c r="P141" s="25"/>
      <c r="Q141" s="50"/>
      <c r="R141" s="9"/>
    </row>
    <row r="142" spans="1:20" ht="30" customHeight="1" x14ac:dyDescent="0.25">
      <c r="A142" s="1361"/>
      <c r="B142" s="478" t="s">
        <v>322</v>
      </c>
      <c r="C142" s="477" t="s">
        <v>101</v>
      </c>
      <c r="D142" s="474">
        <v>1054.3</v>
      </c>
      <c r="E142" s="474" t="s">
        <v>345</v>
      </c>
      <c r="F142" s="474" t="s">
        <v>102</v>
      </c>
      <c r="G142" s="474">
        <v>28</v>
      </c>
      <c r="H142" s="474">
        <v>72</v>
      </c>
      <c r="I142" s="474">
        <v>60</v>
      </c>
      <c r="J142" s="474">
        <v>100</v>
      </c>
      <c r="K142" s="478" t="s">
        <v>205</v>
      </c>
      <c r="L142" s="474" t="s">
        <v>59</v>
      </c>
      <c r="M142" s="474">
        <f>ROUND(((E142*I142*J142* (G142+H142))/(1000000*3.6)),4)</f>
        <v>0.41670000000000001</v>
      </c>
      <c r="N142" s="474">
        <f>ROUND(((D142*I142*J142*(G142+H142))/1000000000),4)</f>
        <v>0.63260000000000005</v>
      </c>
      <c r="O142" s="569"/>
      <c r="P142" s="569"/>
      <c r="Q142" s="49"/>
      <c r="R142" s="9"/>
    </row>
    <row r="143" spans="1:20" ht="15" customHeight="1" x14ac:dyDescent="0.25">
      <c r="A143" s="1361"/>
      <c r="B143" s="483" t="s">
        <v>206</v>
      </c>
      <c r="C143" s="413" t="s">
        <v>101</v>
      </c>
      <c r="D143" s="13">
        <v>35.799999999999997</v>
      </c>
      <c r="E143" s="415">
        <v>0.5</v>
      </c>
      <c r="F143" s="13" t="s">
        <v>102</v>
      </c>
      <c r="G143" s="13">
        <v>28</v>
      </c>
      <c r="H143" s="13">
        <v>72</v>
      </c>
      <c r="I143" s="415">
        <v>45</v>
      </c>
      <c r="J143" s="13">
        <v>50</v>
      </c>
      <c r="K143" s="470" t="s">
        <v>103</v>
      </c>
      <c r="L143" s="344" t="s">
        <v>104</v>
      </c>
      <c r="M143" s="415">
        <f>ROUND(((E143*I143*J143* (G143+H143))/(1000000*3.6)),4)</f>
        <v>3.1300000000000001E-2</v>
      </c>
      <c r="N143" s="13">
        <f>ROUND(((D143*I143*J143*(G143+H143))/1000000000),4)</f>
        <v>8.0999999999999996E-3</v>
      </c>
      <c r="O143" s="900"/>
      <c r="P143" s="900"/>
      <c r="Q143" s="50"/>
      <c r="R143" s="9"/>
    </row>
    <row r="144" spans="1:20" ht="15" customHeight="1" x14ac:dyDescent="0.25">
      <c r="A144" s="1361"/>
      <c r="B144" s="484" t="s">
        <v>127</v>
      </c>
      <c r="C144" s="485"/>
      <c r="D144" s="426"/>
      <c r="E144" s="26"/>
      <c r="F144" s="426"/>
      <c r="G144" s="26"/>
      <c r="H144" s="426"/>
      <c r="I144" s="26"/>
      <c r="J144" s="429">
        <v>50</v>
      </c>
      <c r="K144" s="486" t="s">
        <v>106</v>
      </c>
      <c r="L144" s="338">
        <v>2752</v>
      </c>
      <c r="M144" s="430">
        <f>ROUND(((E143*I143*J144* (G143+H143))/(1000000*3.6)),4)</f>
        <v>3.1300000000000001E-2</v>
      </c>
      <c r="N144" s="429">
        <f>ROUND(((D143*I143*J144*(G143+H143))/1000000000),4)</f>
        <v>8.0999999999999996E-3</v>
      </c>
      <c r="O144" s="900"/>
      <c r="P144" s="900"/>
      <c r="Q144" s="50"/>
      <c r="R144" s="9"/>
    </row>
    <row r="145" spans="1:18" ht="15" customHeight="1" x14ac:dyDescent="0.25">
      <c r="A145" s="1361"/>
      <c r="B145" s="487" t="s">
        <v>110</v>
      </c>
      <c r="C145" s="413" t="s">
        <v>101</v>
      </c>
      <c r="D145" s="13">
        <v>43.5</v>
      </c>
      <c r="E145" s="13" t="s">
        <v>122</v>
      </c>
      <c r="F145" s="13" t="s">
        <v>102</v>
      </c>
      <c r="G145" s="13">
        <v>28</v>
      </c>
      <c r="H145" s="13">
        <v>72</v>
      </c>
      <c r="I145" s="13">
        <v>45</v>
      </c>
      <c r="J145" s="227">
        <v>50</v>
      </c>
      <c r="K145" s="434" t="s">
        <v>103</v>
      </c>
      <c r="L145" s="13" t="s">
        <v>104</v>
      </c>
      <c r="M145" s="415">
        <f>ROUND(((E145*I145*J145* (G145+H145))/(1000000*3.6)),4)</f>
        <v>3.1300000000000001E-2</v>
      </c>
      <c r="N145" s="13">
        <f>ROUND(((D145*I145*J145*(G145+H145))/1000000000),4)</f>
        <v>9.7999999999999997E-3</v>
      </c>
      <c r="O145" s="900"/>
      <c r="P145" s="900"/>
      <c r="Q145" s="50"/>
      <c r="R145" s="9"/>
    </row>
    <row r="146" spans="1:18" ht="15" customHeight="1" x14ac:dyDescent="0.25">
      <c r="A146" s="1361"/>
      <c r="B146" s="488"/>
      <c r="C146" s="418"/>
      <c r="D146" s="417"/>
      <c r="E146" s="417"/>
      <c r="F146" s="417"/>
      <c r="G146" s="417"/>
      <c r="H146" s="417"/>
      <c r="I146" s="417"/>
      <c r="J146" s="419">
        <v>50</v>
      </c>
      <c r="K146" s="428" t="s">
        <v>106</v>
      </c>
      <c r="L146" s="340" t="s">
        <v>107</v>
      </c>
      <c r="M146" s="430">
        <f>ROUND(((E145*I145*J146* (G145+H145))/(1000000*3.6)),4)</f>
        <v>3.1300000000000001E-2</v>
      </c>
      <c r="N146" s="429">
        <f>ROUND(((D145*I145*J146*(G145+H145))/1000000000),4)</f>
        <v>9.7999999999999997E-3</v>
      </c>
      <c r="O146" s="900"/>
      <c r="P146" s="900"/>
      <c r="Q146" s="49"/>
      <c r="R146" s="51"/>
    </row>
    <row r="147" spans="1:18" ht="15" customHeight="1" x14ac:dyDescent="0.25">
      <c r="A147" s="1361"/>
      <c r="B147" s="487" t="s">
        <v>123</v>
      </c>
      <c r="C147" s="413" t="s">
        <v>101</v>
      </c>
      <c r="D147" s="13">
        <v>393.4</v>
      </c>
      <c r="E147" s="13" t="s">
        <v>219</v>
      </c>
      <c r="F147" s="13" t="s">
        <v>102</v>
      </c>
      <c r="G147" s="13">
        <v>28</v>
      </c>
      <c r="H147" s="13">
        <v>72</v>
      </c>
      <c r="I147" s="13">
        <v>70</v>
      </c>
      <c r="J147" s="227">
        <v>20</v>
      </c>
      <c r="K147" s="434" t="s">
        <v>115</v>
      </c>
      <c r="L147" s="13">
        <v>1210</v>
      </c>
      <c r="M147" s="415">
        <f>ROUND(((E147*I147*J147* (G147+H147))/(1000000*3.6)),4)</f>
        <v>5.8299999999999998E-2</v>
      </c>
      <c r="N147" s="13">
        <f>ROUND(((D147*I147*J147*(G147+H147))/1000000000),4)</f>
        <v>5.5100000000000003E-2</v>
      </c>
      <c r="O147" s="900"/>
      <c r="P147" s="900"/>
      <c r="Q147" s="50"/>
      <c r="R147" s="9"/>
    </row>
    <row r="148" spans="1:18" ht="15" customHeight="1" x14ac:dyDescent="0.25">
      <c r="A148" s="1361"/>
      <c r="B148" s="481" t="s">
        <v>333</v>
      </c>
      <c r="C148" s="425"/>
      <c r="D148" s="426"/>
      <c r="E148" s="426"/>
      <c r="F148" s="426"/>
      <c r="G148" s="426"/>
      <c r="H148" s="426"/>
      <c r="I148" s="426"/>
      <c r="J148" s="427">
        <v>80</v>
      </c>
      <c r="K148" s="443" t="s">
        <v>103</v>
      </c>
      <c r="L148" s="429" t="s">
        <v>104</v>
      </c>
      <c r="M148" s="430">
        <f>ROUND(((E147*I147*J148* (G147+H147))/(1000000*3.6)),4)</f>
        <v>0.23330000000000001</v>
      </c>
      <c r="N148" s="429">
        <f>ROUND(((D147*I147*J148*(G147+H147))/1000000000),4)</f>
        <v>0.2203</v>
      </c>
      <c r="O148" s="900"/>
      <c r="P148" s="900"/>
      <c r="Q148" s="50"/>
      <c r="R148" s="9"/>
    </row>
    <row r="149" spans="1:18" ht="15" customHeight="1" x14ac:dyDescent="0.25">
      <c r="A149" s="1361"/>
      <c r="B149" s="1362" t="s">
        <v>239</v>
      </c>
      <c r="C149" s="432" t="s">
        <v>101</v>
      </c>
      <c r="D149" s="433">
        <v>40.6</v>
      </c>
      <c r="E149" s="12" t="s">
        <v>240</v>
      </c>
      <c r="F149" s="433" t="s">
        <v>102</v>
      </c>
      <c r="G149" s="12">
        <v>28</v>
      </c>
      <c r="H149" s="433">
        <v>72</v>
      </c>
      <c r="I149" s="345">
        <v>38</v>
      </c>
      <c r="J149" s="345">
        <v>30</v>
      </c>
      <c r="K149" s="470" t="s">
        <v>113</v>
      </c>
      <c r="L149" s="433" t="s">
        <v>114</v>
      </c>
      <c r="M149" s="12">
        <f>ROUND(((E149*I149*J149* (G149+H149))/(1000000*3.6)),4)</f>
        <v>3.2000000000000002E-3</v>
      </c>
      <c r="N149" s="435">
        <f>ROUND(((D149*I149*J149*(G149+H149))/1000000000),4)</f>
        <v>4.5999999999999999E-3</v>
      </c>
      <c r="O149" s="25"/>
      <c r="P149" s="25"/>
      <c r="Q149" s="50"/>
      <c r="R149" s="9"/>
    </row>
    <row r="150" spans="1:18" ht="15" customHeight="1" x14ac:dyDescent="0.25">
      <c r="A150" s="1361"/>
      <c r="B150" s="1363"/>
      <c r="C150" s="437"/>
      <c r="D150" s="153"/>
      <c r="E150" s="339"/>
      <c r="F150" s="153"/>
      <c r="G150" s="339"/>
      <c r="H150" s="153"/>
      <c r="I150" s="235"/>
      <c r="J150" s="235">
        <v>40</v>
      </c>
      <c r="K150" s="438" t="s">
        <v>103</v>
      </c>
      <c r="L150" s="421" t="s">
        <v>104</v>
      </c>
      <c r="M150" s="339">
        <f>ROUND(((E149*I149*J149* (G149+H149))/(1000000*3.6)),4)</f>
        <v>3.2000000000000002E-3</v>
      </c>
      <c r="N150" s="439">
        <f>ROUND(((D149*I149*J150*(G149+H149))/1000000000),4)</f>
        <v>6.1999999999999998E-3</v>
      </c>
      <c r="O150" s="25"/>
      <c r="P150" s="25"/>
      <c r="Q150" s="50"/>
      <c r="R150" s="9"/>
    </row>
    <row r="151" spans="1:18" ht="15" customHeight="1" x14ac:dyDescent="0.25">
      <c r="A151" s="1361"/>
      <c r="B151" s="1364"/>
      <c r="C151" s="437"/>
      <c r="D151" s="153"/>
      <c r="E151" s="339"/>
      <c r="F151" s="153"/>
      <c r="G151" s="339"/>
      <c r="H151" s="153"/>
      <c r="I151" s="235"/>
      <c r="J151" s="235">
        <v>30</v>
      </c>
      <c r="K151" s="438" t="s">
        <v>415</v>
      </c>
      <c r="L151" s="153" t="s">
        <v>416</v>
      </c>
      <c r="M151" s="339">
        <f>ROUND(((E149*I149*J151* (G149+H149))/(1000000*3.6)),4)</f>
        <v>3.2000000000000002E-3</v>
      </c>
      <c r="N151" s="439">
        <f>ROUND(((D149*I149*J151*(G149+H149))/1000000000),4)</f>
        <v>4.5999999999999999E-3</v>
      </c>
      <c r="O151" s="25"/>
      <c r="P151" s="25"/>
      <c r="Q151" s="50"/>
      <c r="R151" s="9"/>
    </row>
    <row r="152" spans="1:18" s="148" customFormat="1" ht="15" customHeight="1" x14ac:dyDescent="0.25">
      <c r="A152" s="1352" t="s">
        <v>431</v>
      </c>
      <c r="B152" s="1352"/>
      <c r="C152" s="1352"/>
      <c r="D152" s="1352"/>
      <c r="E152" s="1352"/>
      <c r="F152" s="1352"/>
      <c r="G152" s="1352"/>
      <c r="H152" s="1352"/>
      <c r="I152" s="1352"/>
      <c r="J152" s="1352"/>
      <c r="K152" s="447" t="s">
        <v>106</v>
      </c>
      <c r="L152" s="448" t="s">
        <v>107</v>
      </c>
      <c r="M152" s="449">
        <f>MAX(M138,M144,M146)</f>
        <v>3.1300000000000001E-2</v>
      </c>
      <c r="N152" s="449">
        <f>N138+N144+N146</f>
        <v>2.3300000000000001E-2</v>
      </c>
      <c r="O152" s="902"/>
      <c r="P152" s="902"/>
      <c r="Q152" s="150"/>
    </row>
    <row r="153" spans="1:18" s="148" customFormat="1" ht="15" customHeight="1" x14ac:dyDescent="0.25">
      <c r="A153" s="1352"/>
      <c r="B153" s="1352"/>
      <c r="C153" s="1352"/>
      <c r="D153" s="1352"/>
      <c r="E153" s="1352"/>
      <c r="F153" s="1352"/>
      <c r="G153" s="1352"/>
      <c r="H153" s="1352"/>
      <c r="I153" s="1352"/>
      <c r="J153" s="1352"/>
      <c r="K153" s="469" t="s">
        <v>103</v>
      </c>
      <c r="L153" s="452" t="s">
        <v>104</v>
      </c>
      <c r="M153" s="452">
        <f>MAX(M136,M137,M143,M145,M148,M150)</f>
        <v>0.23330000000000001</v>
      </c>
      <c r="N153" s="452">
        <f>N136+N137+N143+N145+N148+N150</f>
        <v>0.24908</v>
      </c>
      <c r="O153" s="901"/>
      <c r="P153" s="901"/>
      <c r="Q153" s="150"/>
    </row>
    <row r="154" spans="1:18" s="148" customFormat="1" ht="15" customHeight="1" x14ac:dyDescent="0.25">
      <c r="A154" s="1352"/>
      <c r="B154" s="1352"/>
      <c r="C154" s="1352"/>
      <c r="D154" s="1352"/>
      <c r="E154" s="1352"/>
      <c r="F154" s="1352"/>
      <c r="G154" s="1352"/>
      <c r="H154" s="1352"/>
      <c r="I154" s="1352"/>
      <c r="J154" s="1352"/>
      <c r="K154" s="450" t="s">
        <v>108</v>
      </c>
      <c r="L154" s="451" t="s">
        <v>109</v>
      </c>
      <c r="M154" s="452">
        <f>M139</f>
        <v>2.2800000000000001E-2</v>
      </c>
      <c r="N154" s="452">
        <f>N139</f>
        <v>5.4000000000000003E-3</v>
      </c>
      <c r="O154" s="901"/>
      <c r="P154" s="901"/>
      <c r="Q154" s="150"/>
    </row>
    <row r="155" spans="1:18" s="148" customFormat="1" ht="15" customHeight="1" x14ac:dyDescent="0.25">
      <c r="A155" s="1352"/>
      <c r="B155" s="1352"/>
      <c r="C155" s="1352"/>
      <c r="D155" s="1352"/>
      <c r="E155" s="1352"/>
      <c r="F155" s="1352"/>
      <c r="G155" s="1352"/>
      <c r="H155" s="1352"/>
      <c r="I155" s="1352"/>
      <c r="J155" s="1352"/>
      <c r="K155" s="469" t="s">
        <v>113</v>
      </c>
      <c r="L155" s="452" t="s">
        <v>114</v>
      </c>
      <c r="M155" s="452">
        <f>M149</f>
        <v>3.2000000000000002E-3</v>
      </c>
      <c r="N155" s="452">
        <f>N149</f>
        <v>4.5999999999999999E-3</v>
      </c>
      <c r="O155" s="901"/>
      <c r="P155" s="901"/>
      <c r="Q155" s="150"/>
    </row>
    <row r="156" spans="1:18" s="148" customFormat="1" ht="15" customHeight="1" x14ac:dyDescent="0.25">
      <c r="A156" s="1352"/>
      <c r="B156" s="1352"/>
      <c r="C156" s="1352"/>
      <c r="D156" s="1352"/>
      <c r="E156" s="1352"/>
      <c r="F156" s="1352"/>
      <c r="G156" s="1352"/>
      <c r="H156" s="1352"/>
      <c r="I156" s="1352"/>
      <c r="J156" s="1352"/>
      <c r="K156" s="450" t="s">
        <v>115</v>
      </c>
      <c r="L156" s="452" t="s">
        <v>116</v>
      </c>
      <c r="M156" s="452">
        <f>M147</f>
        <v>5.8299999999999998E-2</v>
      </c>
      <c r="N156" s="452">
        <f>N147</f>
        <v>5.5100000000000003E-2</v>
      </c>
      <c r="O156" s="901"/>
      <c r="P156" s="901"/>
      <c r="Q156" s="150"/>
    </row>
    <row r="157" spans="1:18" s="148" customFormat="1" ht="30" customHeight="1" x14ac:dyDescent="0.25">
      <c r="A157" s="1352"/>
      <c r="B157" s="1352"/>
      <c r="C157" s="1352"/>
      <c r="D157" s="1352"/>
      <c r="E157" s="1352"/>
      <c r="F157" s="1352"/>
      <c r="G157" s="1352"/>
      <c r="H157" s="1352"/>
      <c r="I157" s="1352"/>
      <c r="J157" s="1352"/>
      <c r="K157" s="469" t="s">
        <v>205</v>
      </c>
      <c r="L157" s="452" t="s">
        <v>59</v>
      </c>
      <c r="M157" s="452">
        <f>MAX(M135,M140,M141,M142)</f>
        <v>0.41670000000000001</v>
      </c>
      <c r="N157" s="452">
        <f>N135+N140+N141+N142</f>
        <v>0.71240000000000003</v>
      </c>
      <c r="O157" s="901"/>
      <c r="P157" s="901"/>
      <c r="Q157" s="150"/>
    </row>
    <row r="158" spans="1:18" s="148" customFormat="1" ht="15" customHeight="1" x14ac:dyDescent="0.25">
      <c r="A158" s="1352"/>
      <c r="B158" s="1352"/>
      <c r="C158" s="1352"/>
      <c r="D158" s="1352"/>
      <c r="E158" s="1352"/>
      <c r="F158" s="1352"/>
      <c r="G158" s="1352"/>
      <c r="H158" s="1352"/>
      <c r="I158" s="1352"/>
      <c r="J158" s="1352"/>
      <c r="K158" s="454" t="s">
        <v>415</v>
      </c>
      <c r="L158" s="490" t="s">
        <v>416</v>
      </c>
      <c r="M158" s="456">
        <f>M151</f>
        <v>3.2000000000000002E-3</v>
      </c>
      <c r="N158" s="456">
        <f>N151</f>
        <v>4.5999999999999999E-3</v>
      </c>
      <c r="O158" s="901">
        <f>SUM(M152:M158)</f>
        <v>0.76880000000000004</v>
      </c>
      <c r="P158" s="901">
        <f>SUM(N152:N158)</f>
        <v>1.0544799999999999</v>
      </c>
      <c r="Q158" s="150"/>
    </row>
    <row r="159" spans="1:18" ht="15" customHeight="1" x14ac:dyDescent="0.25">
      <c r="A159" s="1393" t="s">
        <v>257</v>
      </c>
      <c r="B159" s="1394"/>
      <c r="C159" s="1394"/>
      <c r="D159" s="1394"/>
      <c r="E159" s="1394"/>
      <c r="F159" s="1394"/>
      <c r="G159" s="1394"/>
      <c r="H159" s="1394"/>
      <c r="I159" s="1394"/>
      <c r="J159" s="1394"/>
      <c r="K159" s="1394"/>
      <c r="L159" s="1394"/>
      <c r="M159" s="1394"/>
      <c r="N159" s="1395"/>
      <c r="O159" s="908"/>
      <c r="P159" s="908"/>
      <c r="Q159" s="49"/>
      <c r="R159" s="51"/>
    </row>
    <row r="160" spans="1:18" ht="30" customHeight="1" x14ac:dyDescent="0.25">
      <c r="A160" s="1396">
        <v>7062</v>
      </c>
      <c r="B160" s="491" t="s">
        <v>237</v>
      </c>
      <c r="C160" s="492" t="s">
        <v>101</v>
      </c>
      <c r="D160" s="376">
        <v>18</v>
      </c>
      <c r="E160" s="376" t="s">
        <v>122</v>
      </c>
      <c r="F160" s="376" t="s">
        <v>102</v>
      </c>
      <c r="G160" s="376">
        <v>28</v>
      </c>
      <c r="H160" s="376">
        <v>72</v>
      </c>
      <c r="I160" s="376">
        <v>60</v>
      </c>
      <c r="J160" s="376">
        <v>100</v>
      </c>
      <c r="K160" s="493" t="s">
        <v>205</v>
      </c>
      <c r="L160" s="376" t="s">
        <v>59</v>
      </c>
      <c r="M160" s="376">
        <f>ROUND(((E160*I160*J160* (G160+H160))/(1000000*3.6)),4)</f>
        <v>8.3299999999999999E-2</v>
      </c>
      <c r="N160" s="376">
        <f>ROUND(((D160*I160*J160*(G160+H160))/1000000000),4)</f>
        <v>1.0800000000000001E-2</v>
      </c>
      <c r="O160" s="569"/>
      <c r="P160" s="569"/>
      <c r="Q160" s="50"/>
      <c r="R160" s="9"/>
    </row>
    <row r="161" spans="1:20" ht="15" customHeight="1" x14ac:dyDescent="0.25">
      <c r="A161" s="1397"/>
      <c r="B161" s="384" t="s">
        <v>105</v>
      </c>
      <c r="C161" s="385" t="s">
        <v>101</v>
      </c>
      <c r="D161" s="387">
        <v>4</v>
      </c>
      <c r="E161" s="387" t="s">
        <v>122</v>
      </c>
      <c r="F161" s="387" t="s">
        <v>102</v>
      </c>
      <c r="G161" s="387">
        <v>28</v>
      </c>
      <c r="H161" s="387">
        <v>72</v>
      </c>
      <c r="I161" s="387">
        <v>46</v>
      </c>
      <c r="J161" s="386">
        <v>28.7</v>
      </c>
      <c r="K161" s="494" t="s">
        <v>103</v>
      </c>
      <c r="L161" s="342" t="s">
        <v>104</v>
      </c>
      <c r="M161" s="387">
        <f>ROUND(((E161*I161*J161* (G161+H161))/(1000000*3.6)),4)</f>
        <v>1.83E-2</v>
      </c>
      <c r="N161" s="495">
        <f>ROUND(((D161*I161*J161*(G161+H161))/1000000000),5)</f>
        <v>5.2999999999999998E-4</v>
      </c>
      <c r="O161" s="900"/>
      <c r="P161" s="900"/>
      <c r="Q161" s="50"/>
      <c r="R161" s="9"/>
      <c r="S161" s="9"/>
    </row>
    <row r="162" spans="1:20" ht="15" customHeight="1" x14ac:dyDescent="0.25">
      <c r="A162" s="1397"/>
      <c r="B162" s="384"/>
      <c r="C162" s="384"/>
      <c r="D162" s="385"/>
      <c r="E162" s="385"/>
      <c r="F162" s="385"/>
      <c r="G162" s="385"/>
      <c r="H162" s="385"/>
      <c r="I162" s="385"/>
      <c r="J162" s="386">
        <v>35.65</v>
      </c>
      <c r="K162" s="389" t="s">
        <v>106</v>
      </c>
      <c r="L162" s="342" t="s">
        <v>107</v>
      </c>
      <c r="M162" s="387">
        <f>ROUND(((E161*I161*J162* (G161+H161))/(1000000*3.6)),4)</f>
        <v>2.2800000000000001E-2</v>
      </c>
      <c r="N162" s="495">
        <f>ROUND(((D161*I161*J162*(G161+H161))/1000000000),4)</f>
        <v>6.9999999999999999E-4</v>
      </c>
      <c r="O162" s="900"/>
      <c r="P162" s="900"/>
      <c r="Q162" s="50"/>
      <c r="R162" s="9"/>
      <c r="S162" s="9"/>
    </row>
    <row r="163" spans="1:20" ht="15" customHeight="1" x14ac:dyDescent="0.25">
      <c r="A163" s="1397"/>
      <c r="B163" s="496"/>
      <c r="C163" s="497"/>
      <c r="D163" s="395"/>
      <c r="E163" s="395"/>
      <c r="F163" s="395"/>
      <c r="G163" s="395"/>
      <c r="H163" s="395"/>
      <c r="I163" s="395"/>
      <c r="J163" s="498">
        <v>35.65</v>
      </c>
      <c r="K163" s="499" t="s">
        <v>108</v>
      </c>
      <c r="L163" s="397" t="s">
        <v>109</v>
      </c>
      <c r="M163" s="397">
        <f>ROUND(((E161*I161*J163* (G161+H161))/(1000000*3.6)),4)</f>
        <v>2.2800000000000001E-2</v>
      </c>
      <c r="N163" s="500">
        <f>ROUND(((D161*I161*J163*(G161+H161))/1000000000),4)</f>
        <v>6.9999999999999999E-4</v>
      </c>
      <c r="O163" s="900"/>
      <c r="P163" s="900"/>
      <c r="Q163" s="50"/>
      <c r="R163" s="9"/>
      <c r="S163" s="9"/>
    </row>
    <row r="164" spans="1:20" ht="30" customHeight="1" x14ac:dyDescent="0.25">
      <c r="A164" s="1397"/>
      <c r="B164" s="501" t="s">
        <v>211</v>
      </c>
      <c r="C164" s="502" t="s">
        <v>101</v>
      </c>
      <c r="D164" s="362">
        <v>4</v>
      </c>
      <c r="E164" s="362" t="s">
        <v>122</v>
      </c>
      <c r="F164" s="315" t="s">
        <v>102</v>
      </c>
      <c r="G164" s="315">
        <v>28</v>
      </c>
      <c r="H164" s="315">
        <v>72</v>
      </c>
      <c r="I164" s="362">
        <v>45</v>
      </c>
      <c r="J164" s="362">
        <v>100</v>
      </c>
      <c r="K164" s="503" t="s">
        <v>205</v>
      </c>
      <c r="L164" s="315" t="s">
        <v>59</v>
      </c>
      <c r="M164" s="315">
        <f>ROUND(((E164*I164*J164* (G164+H164))/(1000000*3.6)),4)</f>
        <v>6.25E-2</v>
      </c>
      <c r="N164" s="315">
        <f>ROUND(((D164*I164*J164*(G164+H164))/1000000000),4)</f>
        <v>1.8E-3</v>
      </c>
      <c r="O164" s="25"/>
      <c r="P164" s="25"/>
      <c r="Q164" s="50"/>
      <c r="R164" s="9"/>
    </row>
    <row r="165" spans="1:20" ht="30" customHeight="1" x14ac:dyDescent="0.25">
      <c r="A165" s="1397"/>
      <c r="B165" s="504" t="s">
        <v>212</v>
      </c>
      <c r="C165" s="502" t="s">
        <v>101</v>
      </c>
      <c r="D165" s="362">
        <v>2</v>
      </c>
      <c r="E165" s="362" t="s">
        <v>122</v>
      </c>
      <c r="F165" s="315" t="s">
        <v>102</v>
      </c>
      <c r="G165" s="315">
        <v>28</v>
      </c>
      <c r="H165" s="315">
        <v>72</v>
      </c>
      <c r="I165" s="362">
        <v>45</v>
      </c>
      <c r="J165" s="362">
        <v>100</v>
      </c>
      <c r="K165" s="503" t="s">
        <v>205</v>
      </c>
      <c r="L165" s="315" t="s">
        <v>59</v>
      </c>
      <c r="M165" s="315">
        <f>ROUND(((E165*I165*J165* (G165+H165))/(1000000*3.6)),4)</f>
        <v>6.25E-2</v>
      </c>
      <c r="N165" s="315">
        <f>ROUND(((D165*I165*J165*(G165+H165))/1000000000),4)</f>
        <v>8.9999999999999998E-4</v>
      </c>
      <c r="O165" s="25"/>
      <c r="P165" s="25"/>
      <c r="Q165" s="50"/>
      <c r="R165" s="9"/>
      <c r="S165" s="9"/>
      <c r="T165" s="9"/>
    </row>
    <row r="166" spans="1:20" ht="30" customHeight="1" x14ac:dyDescent="0.25">
      <c r="A166" s="1397"/>
      <c r="B166" s="493" t="s">
        <v>322</v>
      </c>
      <c r="C166" s="492" t="s">
        <v>101</v>
      </c>
      <c r="D166" s="376">
        <v>1553</v>
      </c>
      <c r="E166" s="376" t="s">
        <v>449</v>
      </c>
      <c r="F166" s="376" t="s">
        <v>102</v>
      </c>
      <c r="G166" s="376">
        <v>28</v>
      </c>
      <c r="H166" s="376">
        <v>72</v>
      </c>
      <c r="I166" s="376">
        <v>60</v>
      </c>
      <c r="J166" s="376">
        <v>100</v>
      </c>
      <c r="K166" s="493" t="s">
        <v>205</v>
      </c>
      <c r="L166" s="376" t="s">
        <v>59</v>
      </c>
      <c r="M166" s="376">
        <f>ROUND(((E166*I166*J166* (G166+H166))/(1000000*3.6)),4)</f>
        <v>0.58330000000000004</v>
      </c>
      <c r="N166" s="376">
        <f>ROUND(((D166*I166*J166*(G166+H166))/1000000000),4)</f>
        <v>0.93179999999999996</v>
      </c>
      <c r="O166" s="569"/>
      <c r="P166" s="569"/>
      <c r="Q166" s="49"/>
      <c r="R166" s="9"/>
    </row>
    <row r="167" spans="1:20" ht="15" customHeight="1" x14ac:dyDescent="0.25">
      <c r="A167" s="1397"/>
      <c r="B167" s="377" t="s">
        <v>110</v>
      </c>
      <c r="C167" s="378" t="s">
        <v>101</v>
      </c>
      <c r="D167" s="379">
        <v>4.2</v>
      </c>
      <c r="E167" s="379" t="s">
        <v>122</v>
      </c>
      <c r="F167" s="379" t="s">
        <v>102</v>
      </c>
      <c r="G167" s="379">
        <v>28</v>
      </c>
      <c r="H167" s="379">
        <v>72</v>
      </c>
      <c r="I167" s="379">
        <v>45</v>
      </c>
      <c r="J167" s="380">
        <v>50</v>
      </c>
      <c r="K167" s="381" t="s">
        <v>103</v>
      </c>
      <c r="L167" s="379" t="s">
        <v>104</v>
      </c>
      <c r="M167" s="382">
        <f>ROUND(((E167*I167*J167* (G167+H167))/(1000000*3.6)),4)</f>
        <v>3.1300000000000001E-2</v>
      </c>
      <c r="N167" s="379">
        <f>ROUND(((D167*I167*J167*(G167+H167))/1000000000),4)</f>
        <v>8.9999999999999998E-4</v>
      </c>
      <c r="O167" s="900"/>
      <c r="P167" s="900"/>
      <c r="Q167" s="50"/>
      <c r="R167" s="9"/>
      <c r="S167" s="9"/>
    </row>
    <row r="168" spans="1:20" ht="15" customHeight="1" x14ac:dyDescent="0.25">
      <c r="A168" s="1397"/>
      <c r="B168" s="383"/>
      <c r="C168" s="384"/>
      <c r="D168" s="385"/>
      <c r="E168" s="385"/>
      <c r="F168" s="385"/>
      <c r="G168" s="385"/>
      <c r="H168" s="385"/>
      <c r="I168" s="385"/>
      <c r="J168" s="386">
        <v>50</v>
      </c>
      <c r="K168" s="499" t="s">
        <v>106</v>
      </c>
      <c r="L168" s="341" t="s">
        <v>107</v>
      </c>
      <c r="M168" s="400">
        <f>ROUND(((E167*I167*J168* (G167+H167))/(1000000*3.6)),4)</f>
        <v>3.1300000000000001E-2</v>
      </c>
      <c r="N168" s="397">
        <f>ROUND(((D167*I167*J168*(G167+H167))/1000000000),4)</f>
        <v>8.9999999999999998E-4</v>
      </c>
      <c r="O168" s="900"/>
      <c r="P168" s="900"/>
      <c r="Q168" s="50"/>
      <c r="R168" s="9"/>
      <c r="S168" s="9"/>
    </row>
    <row r="169" spans="1:20" ht="15" customHeight="1" x14ac:dyDescent="0.25">
      <c r="A169" s="1397"/>
      <c r="B169" s="377" t="s">
        <v>123</v>
      </c>
      <c r="C169" s="378" t="s">
        <v>101</v>
      </c>
      <c r="D169" s="379">
        <v>677</v>
      </c>
      <c r="E169" s="379" t="s">
        <v>375</v>
      </c>
      <c r="F169" s="379" t="s">
        <v>102</v>
      </c>
      <c r="G169" s="379">
        <v>28</v>
      </c>
      <c r="H169" s="379">
        <v>72</v>
      </c>
      <c r="I169" s="379">
        <v>70</v>
      </c>
      <c r="J169" s="380">
        <v>20</v>
      </c>
      <c r="K169" s="381" t="s">
        <v>115</v>
      </c>
      <c r="L169" s="379">
        <v>1210</v>
      </c>
      <c r="M169" s="382">
        <f>ROUND(((E169*I169*J169* (G169+H169))/(1000000*3.6)),4)</f>
        <v>7.7799999999999994E-2</v>
      </c>
      <c r="N169" s="379">
        <f>ROUND(((D169*I169*J169*(G169+H169))/1000000000),4)</f>
        <v>9.4799999999999995E-2</v>
      </c>
      <c r="O169" s="900"/>
      <c r="P169" s="900"/>
      <c r="Q169" s="50"/>
      <c r="R169" s="9"/>
    </row>
    <row r="170" spans="1:20" ht="15" customHeight="1" x14ac:dyDescent="0.25">
      <c r="A170" s="1397"/>
      <c r="B170" s="496" t="s">
        <v>333</v>
      </c>
      <c r="C170" s="497"/>
      <c r="D170" s="395"/>
      <c r="E170" s="395"/>
      <c r="F170" s="395"/>
      <c r="G170" s="395"/>
      <c r="H170" s="395"/>
      <c r="I170" s="395"/>
      <c r="J170" s="498">
        <v>80</v>
      </c>
      <c r="K170" s="505" t="s">
        <v>103</v>
      </c>
      <c r="L170" s="397" t="s">
        <v>104</v>
      </c>
      <c r="M170" s="400">
        <f>ROUND(((E169*I169*J170* (G169+H169))/(1000000*3.6)),4)</f>
        <v>0.31109999999999999</v>
      </c>
      <c r="N170" s="397">
        <f>ROUND(((D169*I169*J170*(G169+H169))/1000000000),4)</f>
        <v>0.37909999999999999</v>
      </c>
      <c r="O170" s="900"/>
      <c r="P170" s="900"/>
      <c r="Q170" s="50"/>
      <c r="R170" s="9"/>
    </row>
    <row r="171" spans="1:20" ht="15" customHeight="1" x14ac:dyDescent="0.25">
      <c r="A171" s="1397"/>
      <c r="B171" s="1398" t="s">
        <v>239</v>
      </c>
      <c r="C171" s="360" t="s">
        <v>101</v>
      </c>
      <c r="D171" s="361">
        <v>46.4</v>
      </c>
      <c r="E171" s="362" t="s">
        <v>340</v>
      </c>
      <c r="F171" s="361" t="s">
        <v>102</v>
      </c>
      <c r="G171" s="362">
        <v>28</v>
      </c>
      <c r="H171" s="361">
        <v>72</v>
      </c>
      <c r="I171" s="363">
        <v>38</v>
      </c>
      <c r="J171" s="363">
        <v>30</v>
      </c>
      <c r="K171" s="364" t="s">
        <v>113</v>
      </c>
      <c r="L171" s="361" t="s">
        <v>114</v>
      </c>
      <c r="M171" s="362">
        <f>ROUND(((E171*I171*J171* (G171+H171))/(1000000*3.6)),4)</f>
        <v>3.1699999999999999E-2</v>
      </c>
      <c r="N171" s="365">
        <f>ROUND(((D171*I171*J171*(G171+H171))/1000000000),4)</f>
        <v>5.3E-3</v>
      </c>
      <c r="O171" s="25"/>
      <c r="P171" s="25"/>
      <c r="Q171" s="50"/>
      <c r="R171" s="9"/>
    </row>
    <row r="172" spans="1:20" ht="15" customHeight="1" x14ac:dyDescent="0.25">
      <c r="A172" s="1397"/>
      <c r="B172" s="1399"/>
      <c r="C172" s="367"/>
      <c r="D172" s="53"/>
      <c r="E172" s="342"/>
      <c r="F172" s="53"/>
      <c r="G172" s="342"/>
      <c r="H172" s="53"/>
      <c r="I172" s="368"/>
      <c r="J172" s="368">
        <v>40</v>
      </c>
      <c r="K172" s="369" t="s">
        <v>103</v>
      </c>
      <c r="L172" s="358" t="s">
        <v>104</v>
      </c>
      <c r="M172" s="342">
        <f>ROUND(((E171*I171*J171* (G171+H171))/(1000000*3.6)),4)</f>
        <v>3.1699999999999999E-2</v>
      </c>
      <c r="N172" s="370">
        <f>ROUND(((D171*I171*J172*(G171+H171))/1000000000),4)</f>
        <v>7.1000000000000004E-3</v>
      </c>
      <c r="O172" s="25"/>
      <c r="P172" s="25"/>
      <c r="Q172" s="50"/>
      <c r="R172" s="9"/>
    </row>
    <row r="173" spans="1:20" ht="15" customHeight="1" x14ac:dyDescent="0.25">
      <c r="A173" s="1397"/>
      <c r="B173" s="1400"/>
      <c r="C173" s="367"/>
      <c r="D173" s="53"/>
      <c r="E173" s="342"/>
      <c r="F173" s="53"/>
      <c r="G173" s="342"/>
      <c r="H173" s="53"/>
      <c r="I173" s="368"/>
      <c r="J173" s="368">
        <v>30</v>
      </c>
      <c r="K173" s="369" t="s">
        <v>415</v>
      </c>
      <c r="L173" s="53" t="s">
        <v>416</v>
      </c>
      <c r="M173" s="342">
        <f>ROUND(((E171*I171*J173* (G171+H171))/(1000000*3.6)),4)</f>
        <v>3.1699999999999999E-2</v>
      </c>
      <c r="N173" s="370">
        <f>ROUND(((D171*I171*J173*(G171+H171))/1000000000),4)</f>
        <v>5.3E-3</v>
      </c>
      <c r="O173" s="25"/>
      <c r="P173" s="25"/>
      <c r="Q173" s="50"/>
      <c r="R173" s="9"/>
    </row>
    <row r="174" spans="1:20" ht="15" customHeight="1" x14ac:dyDescent="0.25">
      <c r="A174" s="1392" t="s">
        <v>450</v>
      </c>
      <c r="B174" s="1392"/>
      <c r="C174" s="1392"/>
      <c r="D174" s="1392"/>
      <c r="E174" s="1392"/>
      <c r="F174" s="1392"/>
      <c r="G174" s="1392"/>
      <c r="H174" s="1392"/>
      <c r="I174" s="1392"/>
      <c r="J174" s="1392"/>
      <c r="K174" s="401" t="s">
        <v>106</v>
      </c>
      <c r="L174" s="402" t="s">
        <v>107</v>
      </c>
      <c r="M174" s="403">
        <f>MAX(M162,M168)</f>
        <v>3.1300000000000001E-2</v>
      </c>
      <c r="N174" s="403">
        <f>N162+N168</f>
        <v>1.5999999999999999E-3</v>
      </c>
      <c r="O174" s="900"/>
      <c r="P174" s="900"/>
      <c r="Q174" s="50"/>
      <c r="R174" s="51"/>
    </row>
    <row r="175" spans="1:20" ht="15" customHeight="1" x14ac:dyDescent="0.25">
      <c r="A175" s="1392"/>
      <c r="B175" s="1392"/>
      <c r="C175" s="1392"/>
      <c r="D175" s="1392"/>
      <c r="E175" s="1392"/>
      <c r="F175" s="1392"/>
      <c r="G175" s="1392"/>
      <c r="H175" s="1392"/>
      <c r="I175" s="1392"/>
      <c r="J175" s="1392"/>
      <c r="K175" s="404" t="s">
        <v>103</v>
      </c>
      <c r="L175" s="405" t="s">
        <v>104</v>
      </c>
      <c r="M175" s="405">
        <f>MAX(M161,M167,M170,M172)</f>
        <v>0.31109999999999999</v>
      </c>
      <c r="N175" s="405">
        <f>N161+N167+N170+N172</f>
        <v>0.38762999999999997</v>
      </c>
      <c r="O175" s="25"/>
      <c r="P175" s="25"/>
      <c r="Q175" s="50"/>
      <c r="R175" s="51"/>
    </row>
    <row r="176" spans="1:20" ht="15" customHeight="1" x14ac:dyDescent="0.25">
      <c r="A176" s="1392"/>
      <c r="B176" s="1392"/>
      <c r="C176" s="1392"/>
      <c r="D176" s="1392"/>
      <c r="E176" s="1392"/>
      <c r="F176" s="1392"/>
      <c r="G176" s="1392"/>
      <c r="H176" s="1392"/>
      <c r="I176" s="1392"/>
      <c r="J176" s="1392"/>
      <c r="K176" s="406" t="s">
        <v>108</v>
      </c>
      <c r="L176" s="407" t="s">
        <v>109</v>
      </c>
      <c r="M176" s="405">
        <f>M163</f>
        <v>2.2800000000000001E-2</v>
      </c>
      <c r="N176" s="405">
        <f>N163</f>
        <v>6.9999999999999999E-4</v>
      </c>
      <c r="O176" s="25"/>
      <c r="P176" s="25"/>
      <c r="Q176" s="50"/>
      <c r="R176" s="51"/>
    </row>
    <row r="177" spans="1:18" ht="15" customHeight="1" x14ac:dyDescent="0.25">
      <c r="A177" s="1392"/>
      <c r="B177" s="1392"/>
      <c r="C177" s="1392"/>
      <c r="D177" s="1392"/>
      <c r="E177" s="1392"/>
      <c r="F177" s="1392"/>
      <c r="G177" s="1392"/>
      <c r="H177" s="1392"/>
      <c r="I177" s="1392"/>
      <c r="J177" s="1392"/>
      <c r="K177" s="404" t="s">
        <v>113</v>
      </c>
      <c r="L177" s="405" t="s">
        <v>114</v>
      </c>
      <c r="M177" s="405">
        <f>M171</f>
        <v>3.1699999999999999E-2</v>
      </c>
      <c r="N177" s="405">
        <f>N171</f>
        <v>5.3E-3</v>
      </c>
      <c r="O177" s="25"/>
      <c r="P177" s="25"/>
      <c r="Q177" s="50"/>
      <c r="R177" s="51"/>
    </row>
    <row r="178" spans="1:18" ht="15" customHeight="1" x14ac:dyDescent="0.25">
      <c r="A178" s="1392"/>
      <c r="B178" s="1392"/>
      <c r="C178" s="1392"/>
      <c r="D178" s="1392"/>
      <c r="E178" s="1392"/>
      <c r="F178" s="1392"/>
      <c r="G178" s="1392"/>
      <c r="H178" s="1392"/>
      <c r="I178" s="1392"/>
      <c r="J178" s="1392"/>
      <c r="K178" s="406" t="s">
        <v>115</v>
      </c>
      <c r="L178" s="405" t="s">
        <v>116</v>
      </c>
      <c r="M178" s="405">
        <f>M169</f>
        <v>7.7799999999999994E-2</v>
      </c>
      <c r="N178" s="405">
        <f>N169</f>
        <v>9.4799999999999995E-2</v>
      </c>
      <c r="O178" s="25"/>
      <c r="P178" s="25"/>
      <c r="Q178" s="50"/>
      <c r="R178" s="51"/>
    </row>
    <row r="179" spans="1:18" ht="30" customHeight="1" x14ac:dyDescent="0.25">
      <c r="A179" s="1392"/>
      <c r="B179" s="1392"/>
      <c r="C179" s="1392"/>
      <c r="D179" s="1392"/>
      <c r="E179" s="1392"/>
      <c r="F179" s="1392"/>
      <c r="G179" s="1392"/>
      <c r="H179" s="1392"/>
      <c r="I179" s="1392"/>
      <c r="J179" s="1392"/>
      <c r="K179" s="404" t="s">
        <v>205</v>
      </c>
      <c r="L179" s="405" t="s">
        <v>59</v>
      </c>
      <c r="M179" s="405">
        <f>MAX(M160,M164,M165,M166)</f>
        <v>0.58330000000000004</v>
      </c>
      <c r="N179" s="405">
        <f>N160+N164+N165+N166</f>
        <v>0.94529999999999992</v>
      </c>
      <c r="O179" s="25"/>
      <c r="P179" s="25"/>
      <c r="Q179" s="50"/>
      <c r="R179" s="51"/>
    </row>
    <row r="180" spans="1:18" ht="15" customHeight="1" x14ac:dyDescent="0.25">
      <c r="A180" s="1392"/>
      <c r="B180" s="1392"/>
      <c r="C180" s="1392"/>
      <c r="D180" s="1392"/>
      <c r="E180" s="1392"/>
      <c r="F180" s="1392"/>
      <c r="G180" s="1392"/>
      <c r="H180" s="1392"/>
      <c r="I180" s="1392"/>
      <c r="J180" s="1392"/>
      <c r="K180" s="409" t="s">
        <v>415</v>
      </c>
      <c r="L180" s="506" t="s">
        <v>416</v>
      </c>
      <c r="M180" s="411">
        <f>M173</f>
        <v>3.1699999999999999E-2</v>
      </c>
      <c r="N180" s="411">
        <f>N173</f>
        <v>5.3E-3</v>
      </c>
      <c r="O180" s="25">
        <f>SUM(M174:M180)</f>
        <v>1.0897000000000001</v>
      </c>
      <c r="P180" s="25">
        <f>SUM(N174:N180)</f>
        <v>1.4406300000000001</v>
      </c>
      <c r="Q180" s="50"/>
      <c r="R180" s="51"/>
    </row>
    <row r="181" spans="1:18" ht="15" customHeight="1" x14ac:dyDescent="0.25">
      <c r="A181" s="1353" t="s">
        <v>264</v>
      </c>
      <c r="B181" s="1358"/>
      <c r="C181" s="1358"/>
      <c r="D181" s="1358"/>
      <c r="E181" s="1358"/>
      <c r="F181" s="1358"/>
      <c r="G181" s="1358"/>
      <c r="H181" s="1358"/>
      <c r="I181" s="1358"/>
      <c r="J181" s="1358"/>
      <c r="K181" s="1358"/>
      <c r="L181" s="1358"/>
      <c r="M181" s="1358"/>
      <c r="N181" s="1359"/>
      <c r="O181" s="908"/>
      <c r="P181" s="908"/>
    </row>
    <row r="182" spans="1:18" ht="15" customHeight="1" x14ac:dyDescent="0.25">
      <c r="A182" s="1360">
        <v>7080</v>
      </c>
      <c r="B182" s="507" t="s">
        <v>100</v>
      </c>
      <c r="C182" s="464" t="s">
        <v>101</v>
      </c>
      <c r="D182" s="226">
        <v>4</v>
      </c>
      <c r="E182" s="226" t="s">
        <v>122</v>
      </c>
      <c r="F182" s="226" t="s">
        <v>102</v>
      </c>
      <c r="G182" s="226">
        <v>28</v>
      </c>
      <c r="H182" s="226">
        <v>72</v>
      </c>
      <c r="I182" s="226">
        <v>45</v>
      </c>
      <c r="J182" s="465">
        <v>100</v>
      </c>
      <c r="K182" s="466" t="s">
        <v>103</v>
      </c>
      <c r="L182" s="183" t="s">
        <v>104</v>
      </c>
      <c r="M182" s="467">
        <f>ROUND(((E182*I182*J182* (G182+H182))/(1000000*3.6)),4)</f>
        <v>6.25E-2</v>
      </c>
      <c r="N182" s="226">
        <f>ROUND(((D182*I182*J182*(G182+H182))/1000000000),5)</f>
        <v>1.8E-3</v>
      </c>
      <c r="O182" s="900"/>
      <c r="P182" s="900"/>
    </row>
    <row r="183" spans="1:18" ht="15" customHeight="1" x14ac:dyDescent="0.25">
      <c r="A183" s="1361"/>
      <c r="B183" s="487" t="s">
        <v>337</v>
      </c>
      <c r="C183" s="413" t="s">
        <v>101</v>
      </c>
      <c r="D183" s="13">
        <v>1.2</v>
      </c>
      <c r="E183" s="13" t="s">
        <v>240</v>
      </c>
      <c r="F183" s="13" t="s">
        <v>102</v>
      </c>
      <c r="G183" s="13">
        <v>28</v>
      </c>
      <c r="H183" s="13">
        <v>72</v>
      </c>
      <c r="I183" s="13">
        <v>30</v>
      </c>
      <c r="J183" s="227">
        <v>50</v>
      </c>
      <c r="K183" s="434" t="s">
        <v>103</v>
      </c>
      <c r="L183" s="13" t="s">
        <v>104</v>
      </c>
      <c r="M183" s="415">
        <f>ROUND(((E183*I183*J183* (G183+H183))/(1000000*3.6)),4)</f>
        <v>4.1999999999999997E-3</v>
      </c>
      <c r="N183" s="13">
        <f>ROUND(((D183*I183*J183*(G183+H183))/1000000000),4)</f>
        <v>2.0000000000000001E-4</v>
      </c>
      <c r="O183" s="900"/>
      <c r="P183" s="900"/>
      <c r="Q183" s="50"/>
      <c r="R183" s="9"/>
    </row>
    <row r="184" spans="1:18" ht="15" customHeight="1" x14ac:dyDescent="0.25">
      <c r="A184" s="1361"/>
      <c r="B184" s="481" t="s">
        <v>336</v>
      </c>
      <c r="C184" s="425"/>
      <c r="D184" s="426"/>
      <c r="E184" s="426"/>
      <c r="F184" s="426"/>
      <c r="G184" s="426"/>
      <c r="H184" s="426"/>
      <c r="I184" s="426"/>
      <c r="J184" s="427">
        <v>50</v>
      </c>
      <c r="K184" s="428" t="s">
        <v>106</v>
      </c>
      <c r="L184" s="340" t="s">
        <v>107</v>
      </c>
      <c r="M184" s="430">
        <f>ROUND(((E183*I183*J184* (G183+H183))/(1000000*3.6)),4)</f>
        <v>4.1999999999999997E-3</v>
      </c>
      <c r="N184" s="429">
        <f>ROUND(((D183*I183*J184*(G183+H183))/1000000000),4)</f>
        <v>2.0000000000000001E-4</v>
      </c>
      <c r="O184" s="900"/>
      <c r="P184" s="900"/>
      <c r="Q184" s="50"/>
      <c r="R184" s="9"/>
    </row>
    <row r="185" spans="1:18" ht="15" customHeight="1" x14ac:dyDescent="0.25">
      <c r="A185" s="1361"/>
      <c r="B185" s="1347" t="s">
        <v>269</v>
      </c>
      <c r="C185" s="432" t="s">
        <v>101</v>
      </c>
      <c r="D185" s="433">
        <v>2.2999999999999998</v>
      </c>
      <c r="E185" s="12" t="s">
        <v>240</v>
      </c>
      <c r="F185" s="433" t="s">
        <v>102</v>
      </c>
      <c r="G185" s="12">
        <v>28</v>
      </c>
      <c r="H185" s="433">
        <v>72</v>
      </c>
      <c r="I185" s="345">
        <v>63</v>
      </c>
      <c r="J185" s="12">
        <v>57.4</v>
      </c>
      <c r="K185" s="470" t="s">
        <v>103</v>
      </c>
      <c r="L185" s="344" t="s">
        <v>104</v>
      </c>
      <c r="M185" s="12">
        <f>ROUND(((E185*I185*J185* (G185+H185))/(1000000*3.6)),4)</f>
        <v>0.01</v>
      </c>
      <c r="N185" s="435">
        <f>ROUND(((D185*I185*J185*(G185+H185))/1000000000),5)</f>
        <v>8.3000000000000001E-4</v>
      </c>
      <c r="O185" s="102"/>
      <c r="P185" s="25"/>
    </row>
    <row r="186" spans="1:18" ht="15" customHeight="1" x14ac:dyDescent="0.25">
      <c r="A186" s="1361"/>
      <c r="B186" s="1348"/>
      <c r="C186" s="437"/>
      <c r="D186" s="153"/>
      <c r="E186" s="339"/>
      <c r="F186" s="153"/>
      <c r="G186" s="339"/>
      <c r="H186" s="153"/>
      <c r="I186" s="235"/>
      <c r="J186" s="339">
        <v>42.6</v>
      </c>
      <c r="K186" s="471" t="s">
        <v>106</v>
      </c>
      <c r="L186" s="337">
        <v>2752</v>
      </c>
      <c r="M186" s="339">
        <f>ROUND(((E185*I185*J185* (G185+H185))/(1000000*3.6)),4)</f>
        <v>0.01</v>
      </c>
      <c r="N186" s="439">
        <f>ROUND(((D185*I185*J186*(G185+H185))/1000000000),5)</f>
        <v>6.2E-4</v>
      </c>
      <c r="O186" s="102"/>
      <c r="P186" s="25"/>
    </row>
    <row r="187" spans="1:18" ht="15" customHeight="1" x14ac:dyDescent="0.25">
      <c r="A187" s="1361"/>
      <c r="B187" s="487" t="s">
        <v>110</v>
      </c>
      <c r="C187" s="413" t="s">
        <v>101</v>
      </c>
      <c r="D187" s="13">
        <v>71.8</v>
      </c>
      <c r="E187" s="13" t="s">
        <v>122</v>
      </c>
      <c r="F187" s="13" t="s">
        <v>102</v>
      </c>
      <c r="G187" s="13">
        <v>28</v>
      </c>
      <c r="H187" s="13">
        <v>72</v>
      </c>
      <c r="I187" s="13">
        <v>45</v>
      </c>
      <c r="J187" s="227">
        <v>50</v>
      </c>
      <c r="K187" s="434" t="s">
        <v>103</v>
      </c>
      <c r="L187" s="13" t="s">
        <v>104</v>
      </c>
      <c r="M187" s="415">
        <f>ROUND(((E187*I187*J187* (G187+H187))/(1000000*3.6)),4)</f>
        <v>3.1300000000000001E-2</v>
      </c>
      <c r="N187" s="13">
        <f>ROUND(((D187*I187*J187*(G187+H187))/1000000000),4)</f>
        <v>1.6199999999999999E-2</v>
      </c>
      <c r="O187" s="900"/>
      <c r="P187" s="900"/>
      <c r="Q187" s="50"/>
      <c r="R187" s="9"/>
    </row>
    <row r="188" spans="1:18" ht="15" customHeight="1" x14ac:dyDescent="0.25">
      <c r="A188" s="1361"/>
      <c r="B188" s="481"/>
      <c r="C188" s="425"/>
      <c r="D188" s="426"/>
      <c r="E188" s="426"/>
      <c r="F188" s="426"/>
      <c r="G188" s="426"/>
      <c r="H188" s="426"/>
      <c r="I188" s="426"/>
      <c r="J188" s="427">
        <v>50</v>
      </c>
      <c r="K188" s="428" t="s">
        <v>106</v>
      </c>
      <c r="L188" s="340" t="s">
        <v>107</v>
      </c>
      <c r="M188" s="430">
        <f>ROUND(((E187*I187*J188* (G187+H187))/(1000000*3.6)),4)</f>
        <v>3.1300000000000001E-2</v>
      </c>
      <c r="N188" s="429">
        <f>ROUND(((D187*I187*J188*(G187+H187))/1000000000),4)</f>
        <v>1.6199999999999999E-2</v>
      </c>
      <c r="O188" s="900"/>
      <c r="P188" s="900"/>
      <c r="Q188" s="50"/>
      <c r="R188" s="9"/>
    </row>
    <row r="189" spans="1:18" ht="15" customHeight="1" x14ac:dyDescent="0.25">
      <c r="A189" s="1361"/>
      <c r="B189" s="483" t="s">
        <v>270</v>
      </c>
      <c r="C189" s="413" t="s">
        <v>101</v>
      </c>
      <c r="D189" s="13">
        <v>0.4</v>
      </c>
      <c r="E189" s="415">
        <v>0.1</v>
      </c>
      <c r="F189" s="13" t="s">
        <v>102</v>
      </c>
      <c r="G189" s="13">
        <v>28</v>
      </c>
      <c r="H189" s="13">
        <v>72</v>
      </c>
      <c r="I189" s="415">
        <v>45</v>
      </c>
      <c r="J189" s="13">
        <v>50</v>
      </c>
      <c r="K189" s="470" t="s">
        <v>103</v>
      </c>
      <c r="L189" s="344" t="s">
        <v>104</v>
      </c>
      <c r="M189" s="415">
        <f>ROUND(((E189*I189*J189* (G189+H189))/(1000000*3.6)),4)</f>
        <v>6.3E-3</v>
      </c>
      <c r="N189" s="13">
        <f>ROUND(((D189*I189*J189*(G189+H189))/1000000000),4)</f>
        <v>1E-4</v>
      </c>
      <c r="O189" s="900"/>
      <c r="P189" s="900"/>
      <c r="Q189" s="50"/>
    </row>
    <row r="190" spans="1:18" ht="15" customHeight="1" x14ac:dyDescent="0.25">
      <c r="A190" s="1361"/>
      <c r="B190" s="484" t="s">
        <v>127</v>
      </c>
      <c r="C190" s="485"/>
      <c r="D190" s="426"/>
      <c r="E190" s="26"/>
      <c r="F190" s="426"/>
      <c r="G190" s="26"/>
      <c r="H190" s="426"/>
      <c r="I190" s="26"/>
      <c r="J190" s="429">
        <v>50</v>
      </c>
      <c r="K190" s="471" t="s">
        <v>106</v>
      </c>
      <c r="L190" s="337">
        <v>2752</v>
      </c>
      <c r="M190" s="430">
        <f>ROUND(((E189*I189*J190* (G189+H189))/(1000000*3.6)),4)</f>
        <v>6.3E-3</v>
      </c>
      <c r="N190" s="429">
        <f>ROUND(((D189*I189*J190*(G189+H189))/1000000000),4)</f>
        <v>1E-4</v>
      </c>
      <c r="O190" s="900"/>
      <c r="P190" s="900"/>
      <c r="Q190" s="50"/>
    </row>
    <row r="191" spans="1:18" ht="15" customHeight="1" x14ac:dyDescent="0.25">
      <c r="A191" s="1361"/>
      <c r="B191" s="1347" t="s">
        <v>338</v>
      </c>
      <c r="C191" s="432" t="s">
        <v>101</v>
      </c>
      <c r="D191" s="433">
        <v>1.7</v>
      </c>
      <c r="E191" s="12" t="s">
        <v>240</v>
      </c>
      <c r="F191" s="433" t="s">
        <v>102</v>
      </c>
      <c r="G191" s="12">
        <v>28</v>
      </c>
      <c r="H191" s="433">
        <v>72</v>
      </c>
      <c r="I191" s="345">
        <v>68.5</v>
      </c>
      <c r="J191" s="227">
        <v>10.82</v>
      </c>
      <c r="K191" s="434" t="s">
        <v>103</v>
      </c>
      <c r="L191" s="13" t="s">
        <v>104</v>
      </c>
      <c r="M191" s="435">
        <f>ROUND(((E191*I191*J191* (G191+H191))/(1000000*3.6)),4)</f>
        <v>2.0999999999999999E-3</v>
      </c>
      <c r="N191" s="435">
        <f>ROUND(((D191*I191*J191*(G191+H191))/1000000000),4)</f>
        <v>1E-4</v>
      </c>
      <c r="O191" s="25"/>
      <c r="P191" s="25"/>
      <c r="Q191" s="50"/>
      <c r="R191" s="9"/>
    </row>
    <row r="192" spans="1:18" ht="15" customHeight="1" x14ac:dyDescent="0.25">
      <c r="A192" s="1361"/>
      <c r="B192" s="1348"/>
      <c r="C192" s="437"/>
      <c r="D192" s="153"/>
      <c r="E192" s="339"/>
      <c r="F192" s="153"/>
      <c r="G192" s="339"/>
      <c r="H192" s="153"/>
      <c r="I192" s="235"/>
      <c r="J192" s="235">
        <v>27.26</v>
      </c>
      <c r="K192" s="479" t="s">
        <v>113</v>
      </c>
      <c r="L192" s="339" t="s">
        <v>114</v>
      </c>
      <c r="M192" s="439">
        <f>ROUND(((E191*I191*J191* (G191+H191))/(1000000*3.6)),4)</f>
        <v>2.0999999999999999E-3</v>
      </c>
      <c r="N192" s="439">
        <f>ROUND(((D191*I191*J192*(G191+H191))/1000000000),4)</f>
        <v>2.9999999999999997E-4</v>
      </c>
      <c r="O192" s="25"/>
      <c r="P192" s="25"/>
      <c r="Q192" s="50"/>
      <c r="R192" s="9"/>
    </row>
    <row r="193" spans="1:18" ht="15" customHeight="1" x14ac:dyDescent="0.25">
      <c r="A193" s="1361"/>
      <c r="B193" s="1406"/>
      <c r="C193" s="437"/>
      <c r="D193" s="153"/>
      <c r="E193" s="339"/>
      <c r="F193" s="153"/>
      <c r="G193" s="339"/>
      <c r="H193" s="153"/>
      <c r="I193" s="235"/>
      <c r="J193" s="235">
        <v>11.95</v>
      </c>
      <c r="K193" s="420" t="s">
        <v>115</v>
      </c>
      <c r="L193" s="339" t="s">
        <v>116</v>
      </c>
      <c r="M193" s="439">
        <f>ROUND(((E191*I191*J193* (G191+H191))/(1000000*3.6)),4)</f>
        <v>2.3E-3</v>
      </c>
      <c r="N193" s="439">
        <f>ROUND(((D191*I191*J193*(G191+H191))/1000000000),5)</f>
        <v>1.3999999999999999E-4</v>
      </c>
      <c r="O193" s="25"/>
      <c r="P193" s="25"/>
      <c r="Q193" s="50"/>
      <c r="R193" s="9"/>
    </row>
    <row r="194" spans="1:18" ht="15" customHeight="1" x14ac:dyDescent="0.25">
      <c r="A194" s="1361"/>
      <c r="B194" s="1406"/>
      <c r="C194" s="437"/>
      <c r="D194" s="153"/>
      <c r="E194" s="339"/>
      <c r="F194" s="153"/>
      <c r="G194" s="339"/>
      <c r="H194" s="153"/>
      <c r="I194" s="235"/>
      <c r="J194" s="235">
        <v>14.5</v>
      </c>
      <c r="K194" s="479" t="s">
        <v>271</v>
      </c>
      <c r="L194" s="339" t="s">
        <v>272</v>
      </c>
      <c r="M194" s="439">
        <f>ROUND(((E191*I191*J194* (G191+H191))/(1000000*3.6)),4)</f>
        <v>2.8E-3</v>
      </c>
      <c r="N194" s="439">
        <f>ROUND(((D191*I191*J194*(G191+H191))/1000000000),5)</f>
        <v>1.7000000000000001E-4</v>
      </c>
      <c r="O194" s="25"/>
      <c r="P194" s="25"/>
      <c r="Q194" s="50"/>
      <c r="R194" s="9"/>
    </row>
    <row r="195" spans="1:18" ht="15" customHeight="1" x14ac:dyDescent="0.25">
      <c r="A195" s="1377"/>
      <c r="B195" s="509"/>
      <c r="C195" s="441"/>
      <c r="D195" s="442"/>
      <c r="E195" s="340"/>
      <c r="F195" s="442"/>
      <c r="G195" s="340"/>
      <c r="H195" s="442"/>
      <c r="I195" s="346"/>
      <c r="J195" s="346">
        <v>35.47</v>
      </c>
      <c r="K195" s="428" t="s">
        <v>117</v>
      </c>
      <c r="L195" s="429" t="s">
        <v>118</v>
      </c>
      <c r="M195" s="444">
        <f>ROUND(((E191*I191*J195* (G191+H191))/(1000000*3.6)),4)</f>
        <v>6.7000000000000002E-3</v>
      </c>
      <c r="N195" s="444">
        <f>ROUND(((D191*I191*J195*(G191+H191))/1000000000),5)</f>
        <v>4.0999999999999999E-4</v>
      </c>
      <c r="O195" s="25"/>
      <c r="P195" s="25"/>
      <c r="Q195" s="50"/>
      <c r="R195" s="9"/>
    </row>
    <row r="196" spans="1:18" s="148" customFormat="1" ht="15" customHeight="1" x14ac:dyDescent="0.25">
      <c r="A196" s="1352" t="s">
        <v>476</v>
      </c>
      <c r="B196" s="1352"/>
      <c r="C196" s="1352"/>
      <c r="D196" s="1352"/>
      <c r="E196" s="1352"/>
      <c r="F196" s="1352"/>
      <c r="G196" s="1352"/>
      <c r="H196" s="1352"/>
      <c r="I196" s="1352"/>
      <c r="J196" s="1352"/>
      <c r="K196" s="447" t="s">
        <v>106</v>
      </c>
      <c r="L196" s="448" t="s">
        <v>107</v>
      </c>
      <c r="M196" s="449">
        <f>MAX(M184,M186,M188,M190)</f>
        <v>3.1300000000000001E-2</v>
      </c>
      <c r="N196" s="449">
        <f>N184+N186+N188+N190</f>
        <v>1.712E-2</v>
      </c>
      <c r="O196" s="902"/>
      <c r="P196" s="902"/>
      <c r="Q196" s="150"/>
    </row>
    <row r="197" spans="1:18" s="148" customFormat="1" ht="15" customHeight="1" x14ac:dyDescent="0.25">
      <c r="A197" s="1352"/>
      <c r="B197" s="1352"/>
      <c r="C197" s="1352"/>
      <c r="D197" s="1352"/>
      <c r="E197" s="1352"/>
      <c r="F197" s="1352"/>
      <c r="G197" s="1352"/>
      <c r="H197" s="1352"/>
      <c r="I197" s="1352"/>
      <c r="J197" s="1352"/>
      <c r="K197" s="469" t="s">
        <v>103</v>
      </c>
      <c r="L197" s="452" t="s">
        <v>104</v>
      </c>
      <c r="M197" s="452">
        <f>MAX(M182,M183,M187,M189,M191,M185)</f>
        <v>6.25E-2</v>
      </c>
      <c r="N197" s="452">
        <f>N182+N183+N187+N189+N191+N185</f>
        <v>1.9230000000000001E-2</v>
      </c>
      <c r="O197" s="901"/>
      <c r="P197" s="901"/>
      <c r="Q197" s="150"/>
    </row>
    <row r="198" spans="1:18" s="148" customFormat="1" ht="15" customHeight="1" x14ac:dyDescent="0.25">
      <c r="A198" s="1352"/>
      <c r="B198" s="1352"/>
      <c r="C198" s="1352"/>
      <c r="D198" s="1352"/>
      <c r="E198" s="1352"/>
      <c r="F198" s="1352"/>
      <c r="G198" s="1352"/>
      <c r="H198" s="1352"/>
      <c r="I198" s="1352"/>
      <c r="J198" s="1352"/>
      <c r="K198" s="469" t="s">
        <v>113</v>
      </c>
      <c r="L198" s="452" t="s">
        <v>114</v>
      </c>
      <c r="M198" s="452">
        <f t="shared" ref="M198:N201" si="1">M192</f>
        <v>2.0999999999999999E-3</v>
      </c>
      <c r="N198" s="452">
        <f t="shared" si="1"/>
        <v>2.9999999999999997E-4</v>
      </c>
      <c r="O198" s="901"/>
      <c r="P198" s="901"/>
      <c r="Q198" s="150"/>
    </row>
    <row r="199" spans="1:18" s="148" customFormat="1" ht="15" customHeight="1" x14ac:dyDescent="0.25">
      <c r="A199" s="1352"/>
      <c r="B199" s="1352"/>
      <c r="C199" s="1352"/>
      <c r="D199" s="1352"/>
      <c r="E199" s="1352"/>
      <c r="F199" s="1352"/>
      <c r="G199" s="1352"/>
      <c r="H199" s="1352"/>
      <c r="I199" s="1352"/>
      <c r="J199" s="1352"/>
      <c r="K199" s="450" t="s">
        <v>115</v>
      </c>
      <c r="L199" s="452" t="s">
        <v>116</v>
      </c>
      <c r="M199" s="452">
        <f t="shared" si="1"/>
        <v>2.3E-3</v>
      </c>
      <c r="N199" s="452">
        <f t="shared" si="1"/>
        <v>1.3999999999999999E-4</v>
      </c>
      <c r="O199" s="901"/>
      <c r="P199" s="901"/>
      <c r="Q199" s="150"/>
    </row>
    <row r="200" spans="1:18" s="148" customFormat="1" ht="15" customHeight="1" x14ac:dyDescent="0.25">
      <c r="A200" s="1352"/>
      <c r="B200" s="1352"/>
      <c r="C200" s="1352"/>
      <c r="D200" s="1352"/>
      <c r="E200" s="1352"/>
      <c r="F200" s="1352"/>
      <c r="G200" s="1352"/>
      <c r="H200" s="1352"/>
      <c r="I200" s="1352"/>
      <c r="J200" s="1352"/>
      <c r="K200" s="510" t="s">
        <v>271</v>
      </c>
      <c r="L200" s="452" t="s">
        <v>272</v>
      </c>
      <c r="M200" s="452">
        <f t="shared" si="1"/>
        <v>2.8E-3</v>
      </c>
      <c r="N200" s="452">
        <f t="shared" si="1"/>
        <v>1.7000000000000001E-4</v>
      </c>
      <c r="O200" s="901"/>
      <c r="P200" s="901"/>
      <c r="Q200" s="150"/>
    </row>
    <row r="201" spans="1:18" s="148" customFormat="1" ht="15" customHeight="1" x14ac:dyDescent="0.25">
      <c r="A201" s="1352"/>
      <c r="B201" s="1352"/>
      <c r="C201" s="1352"/>
      <c r="D201" s="1352"/>
      <c r="E201" s="1352"/>
      <c r="F201" s="1352"/>
      <c r="G201" s="1352"/>
      <c r="H201" s="1352"/>
      <c r="I201" s="1352"/>
      <c r="J201" s="1352"/>
      <c r="K201" s="454" t="s">
        <v>117</v>
      </c>
      <c r="L201" s="455" t="s">
        <v>118</v>
      </c>
      <c r="M201" s="456">
        <f t="shared" si="1"/>
        <v>6.7000000000000002E-3</v>
      </c>
      <c r="N201" s="456">
        <f t="shared" si="1"/>
        <v>4.0999999999999999E-4</v>
      </c>
      <c r="O201" s="102">
        <f>SUM(M196:M201)</f>
        <v>0.10769999999999999</v>
      </c>
      <c r="P201" s="102">
        <f>SUM(N196:N201)</f>
        <v>3.7370000000000007E-2</v>
      </c>
      <c r="Q201" s="150"/>
    </row>
    <row r="202" spans="1:18" ht="15" customHeight="1" x14ac:dyDescent="0.25">
      <c r="A202" s="1353" t="s">
        <v>276</v>
      </c>
      <c r="B202" s="1358"/>
      <c r="C202" s="1358"/>
      <c r="D202" s="1358"/>
      <c r="E202" s="1358"/>
      <c r="F202" s="1358"/>
      <c r="G202" s="1358"/>
      <c r="H202" s="1358"/>
      <c r="I202" s="1358"/>
      <c r="J202" s="1358"/>
      <c r="K202" s="1358"/>
      <c r="L202" s="1358"/>
      <c r="M202" s="1358"/>
      <c r="N202" s="1359"/>
      <c r="O202" s="908"/>
      <c r="P202" s="908"/>
    </row>
    <row r="203" spans="1:18" ht="30" customHeight="1" x14ac:dyDescent="0.25">
      <c r="A203" s="1360" t="s">
        <v>485</v>
      </c>
      <c r="B203" s="457" t="s">
        <v>211</v>
      </c>
      <c r="C203" s="458" t="s">
        <v>101</v>
      </c>
      <c r="D203" s="12">
        <v>150</v>
      </c>
      <c r="E203" s="12" t="s">
        <v>90</v>
      </c>
      <c r="F203" s="183" t="s">
        <v>102</v>
      </c>
      <c r="G203" s="183">
        <v>28</v>
      </c>
      <c r="H203" s="183">
        <v>72</v>
      </c>
      <c r="I203" s="12">
        <v>45</v>
      </c>
      <c r="J203" s="12">
        <v>100</v>
      </c>
      <c r="K203" s="459" t="s">
        <v>205</v>
      </c>
      <c r="L203" s="183" t="s">
        <v>59</v>
      </c>
      <c r="M203" s="183">
        <f>ROUND(((E203*I203*J203* (G203+H203))/(1000000*3.6)),4)</f>
        <v>0.125</v>
      </c>
      <c r="N203" s="183">
        <f>ROUND(((D203*I203*J203*(G203+H203))/1000000000),4)</f>
        <v>6.7500000000000004E-2</v>
      </c>
      <c r="O203" s="25"/>
      <c r="P203" s="25"/>
      <c r="Q203" s="50"/>
      <c r="R203" s="9"/>
    </row>
    <row r="204" spans="1:18" ht="30" customHeight="1" x14ac:dyDescent="0.25">
      <c r="A204" s="1377"/>
      <c r="B204" s="460" t="s">
        <v>212</v>
      </c>
      <c r="C204" s="458" t="s">
        <v>101</v>
      </c>
      <c r="D204" s="12">
        <v>150</v>
      </c>
      <c r="E204" s="12" t="s">
        <v>90</v>
      </c>
      <c r="F204" s="183" t="s">
        <v>102</v>
      </c>
      <c r="G204" s="183">
        <v>28</v>
      </c>
      <c r="H204" s="183">
        <v>72</v>
      </c>
      <c r="I204" s="12">
        <v>45</v>
      </c>
      <c r="J204" s="12">
        <v>100</v>
      </c>
      <c r="K204" s="459" t="s">
        <v>205</v>
      </c>
      <c r="L204" s="183" t="s">
        <v>59</v>
      </c>
      <c r="M204" s="183">
        <f>ROUND(((E204*I204*J204* (G204+H204))/(1000000*3.6)),4)</f>
        <v>0.125</v>
      </c>
      <c r="N204" s="183">
        <f>ROUND(((D204*I204*J204*(G204+H204))/1000000000),4)</f>
        <v>6.7500000000000004E-2</v>
      </c>
      <c r="O204" s="25"/>
      <c r="P204" s="25"/>
      <c r="Q204" s="50"/>
      <c r="R204" s="9"/>
    </row>
    <row r="205" spans="1:18" ht="30" customHeight="1" x14ac:dyDescent="0.25">
      <c r="A205" s="1352" t="s">
        <v>486</v>
      </c>
      <c r="B205" s="1352"/>
      <c r="C205" s="1352"/>
      <c r="D205" s="1352"/>
      <c r="E205" s="1352"/>
      <c r="F205" s="1352"/>
      <c r="G205" s="1352"/>
      <c r="H205" s="1352"/>
      <c r="I205" s="1352"/>
      <c r="J205" s="1352"/>
      <c r="K205" s="461" t="s">
        <v>205</v>
      </c>
      <c r="L205" s="462" t="s">
        <v>59</v>
      </c>
      <c r="M205" s="511">
        <f>MAX(M203,M204)</f>
        <v>0.125</v>
      </c>
      <c r="N205" s="511">
        <f>N203+N204</f>
        <v>0.13500000000000001</v>
      </c>
      <c r="O205" s="25">
        <f>M205</f>
        <v>0.125</v>
      </c>
      <c r="P205" s="25">
        <f>N205</f>
        <v>0.13500000000000001</v>
      </c>
      <c r="Q205" s="50"/>
      <c r="R205" s="9"/>
    </row>
    <row r="206" spans="1:18" ht="15" customHeight="1" x14ac:dyDescent="0.25">
      <c r="A206" s="1353" t="s">
        <v>284</v>
      </c>
      <c r="B206" s="1358"/>
      <c r="C206" s="1358"/>
      <c r="D206" s="1358"/>
      <c r="E206" s="1358"/>
      <c r="F206" s="1358"/>
      <c r="G206" s="1358"/>
      <c r="H206" s="1358"/>
      <c r="I206" s="1358"/>
      <c r="J206" s="1358"/>
      <c r="K206" s="1358"/>
      <c r="L206" s="1358"/>
      <c r="M206" s="1358"/>
      <c r="N206" s="1359"/>
      <c r="O206" s="908"/>
      <c r="P206" s="908"/>
      <c r="Q206" s="49"/>
      <c r="R206" s="51"/>
    </row>
    <row r="207" spans="1:18" ht="15" customHeight="1" x14ac:dyDescent="0.25">
      <c r="A207" s="1360" t="s">
        <v>496</v>
      </c>
      <c r="B207" s="431" t="s">
        <v>339</v>
      </c>
      <c r="C207" s="432" t="s">
        <v>101</v>
      </c>
      <c r="D207" s="433">
        <v>155.6</v>
      </c>
      <c r="E207" s="12" t="s">
        <v>340</v>
      </c>
      <c r="F207" s="433" t="s">
        <v>102</v>
      </c>
      <c r="G207" s="12">
        <v>28</v>
      </c>
      <c r="H207" s="433">
        <v>72</v>
      </c>
      <c r="I207" s="345">
        <v>64.5</v>
      </c>
      <c r="J207" s="345">
        <v>50</v>
      </c>
      <c r="K207" s="434" t="s">
        <v>115</v>
      </c>
      <c r="L207" s="13">
        <v>1210</v>
      </c>
      <c r="M207" s="12">
        <f>ROUND(((E207*I207*J207* (G207+H207))/(1000000*3.6)),4)</f>
        <v>8.9599999999999999E-2</v>
      </c>
      <c r="N207" s="435">
        <f>ROUND(((D207*I207*J207*(G207+H207))/1000000000),4)</f>
        <v>5.0200000000000002E-2</v>
      </c>
      <c r="O207" s="25"/>
      <c r="P207" s="25"/>
    </row>
    <row r="208" spans="1:18" ht="15" customHeight="1" x14ac:dyDescent="0.25">
      <c r="A208" s="1361"/>
      <c r="B208" s="436"/>
      <c r="C208" s="437"/>
      <c r="D208" s="153"/>
      <c r="E208" s="339"/>
      <c r="F208" s="153"/>
      <c r="G208" s="339"/>
      <c r="H208" s="153"/>
      <c r="I208" s="235"/>
      <c r="J208" s="235">
        <v>20</v>
      </c>
      <c r="K208" s="438" t="s">
        <v>111</v>
      </c>
      <c r="L208" s="421" t="s">
        <v>112</v>
      </c>
      <c r="M208" s="339">
        <f>ROUND(((E207*I207*J207* (G207+H207))/(1000000*3.6)),4)</f>
        <v>8.9599999999999999E-2</v>
      </c>
      <c r="N208" s="439">
        <f>ROUND(((D207*I207*J208*(G207+H207))/1000000000),5)</f>
        <v>2.0070000000000001E-2</v>
      </c>
      <c r="O208" s="25"/>
      <c r="P208" s="25"/>
    </row>
    <row r="209" spans="1:18" ht="15" customHeight="1" x14ac:dyDescent="0.25">
      <c r="A209" s="1361"/>
      <c r="B209" s="436"/>
      <c r="C209" s="437"/>
      <c r="D209" s="153"/>
      <c r="E209" s="339"/>
      <c r="F209" s="153"/>
      <c r="G209" s="339"/>
      <c r="H209" s="153"/>
      <c r="I209" s="235"/>
      <c r="J209" s="235">
        <v>10</v>
      </c>
      <c r="K209" s="438" t="s">
        <v>274</v>
      </c>
      <c r="L209" s="153" t="s">
        <v>275</v>
      </c>
      <c r="M209" s="339">
        <f>ROUND(((E207*I207*J209* (G207+H207))/(1000000*3.6)),4)</f>
        <v>1.7899999999999999E-2</v>
      </c>
      <c r="N209" s="439">
        <f>ROUND(((D207*I207*J209*(G207+H207))/1000000000),4)</f>
        <v>0.01</v>
      </c>
      <c r="O209" s="25"/>
      <c r="P209" s="25"/>
    </row>
    <row r="210" spans="1:18" ht="15" customHeight="1" x14ac:dyDescent="0.25">
      <c r="A210" s="1361"/>
      <c r="B210" s="440"/>
      <c r="C210" s="441"/>
      <c r="D210" s="442"/>
      <c r="E210" s="340"/>
      <c r="F210" s="442"/>
      <c r="G210" s="340"/>
      <c r="H210" s="442"/>
      <c r="I210" s="346"/>
      <c r="J210" s="346">
        <v>20</v>
      </c>
      <c r="K210" s="443" t="s">
        <v>117</v>
      </c>
      <c r="L210" s="430" t="s">
        <v>118</v>
      </c>
      <c r="M210" s="340">
        <f>ROUND(((E207*I207*J210* (G207+H207))/(1000000*3.6)),4)</f>
        <v>3.5799999999999998E-2</v>
      </c>
      <c r="N210" s="444">
        <f>ROUND(((D207*I207*J210*(G207+H207))/1000000000),4)</f>
        <v>2.01E-2</v>
      </c>
      <c r="O210" s="25"/>
      <c r="P210" s="25"/>
    </row>
    <row r="211" spans="1:18" ht="15" customHeight="1" x14ac:dyDescent="0.25">
      <c r="A211" s="1361"/>
      <c r="B211" s="431" t="s">
        <v>341</v>
      </c>
      <c r="C211" s="432" t="s">
        <v>101</v>
      </c>
      <c r="D211" s="433">
        <v>87.9</v>
      </c>
      <c r="E211" s="12" t="s">
        <v>90</v>
      </c>
      <c r="F211" s="433" t="s">
        <v>102</v>
      </c>
      <c r="G211" s="12">
        <v>28</v>
      </c>
      <c r="H211" s="433">
        <v>72</v>
      </c>
      <c r="I211" s="345">
        <v>72</v>
      </c>
      <c r="J211" s="345">
        <v>50</v>
      </c>
      <c r="K211" s="434" t="s">
        <v>115</v>
      </c>
      <c r="L211" s="13">
        <v>1210</v>
      </c>
      <c r="M211" s="12">
        <f>ROUND(((E211*I211*J211* (G211+H211))/(1000000*3.6)),4)</f>
        <v>0.1</v>
      </c>
      <c r="N211" s="435">
        <f>ROUND(((D211*I211*J211*(G211+H211))/1000000000),4)</f>
        <v>3.1600000000000003E-2</v>
      </c>
      <c r="O211" s="25"/>
      <c r="P211" s="25"/>
      <c r="Q211" s="50"/>
      <c r="R211" s="9"/>
    </row>
    <row r="212" spans="1:18" ht="15" customHeight="1" x14ac:dyDescent="0.25">
      <c r="A212" s="1361"/>
      <c r="B212" s="436"/>
      <c r="C212" s="437"/>
      <c r="D212" s="153"/>
      <c r="E212" s="339"/>
      <c r="F212" s="153"/>
      <c r="G212" s="339"/>
      <c r="H212" s="153"/>
      <c r="I212" s="235"/>
      <c r="J212" s="235">
        <v>20</v>
      </c>
      <c r="K212" s="438" t="s">
        <v>111</v>
      </c>
      <c r="L212" s="421" t="s">
        <v>112</v>
      </c>
      <c r="M212" s="339">
        <f>ROUND(((E211*I211*J211* (G211+H211))/(1000000*3.6)),4)</f>
        <v>0.1</v>
      </c>
      <c r="N212" s="439">
        <f>ROUND(((D211*I211*J212*(G211+H211))/1000000000),5)</f>
        <v>1.2659999999999999E-2</v>
      </c>
      <c r="O212" s="25"/>
      <c r="P212" s="25"/>
      <c r="Q212" s="49"/>
      <c r="R212" s="51"/>
    </row>
    <row r="213" spans="1:18" ht="15" customHeight="1" x14ac:dyDescent="0.25">
      <c r="A213" s="1361"/>
      <c r="B213" s="436"/>
      <c r="C213" s="437"/>
      <c r="D213" s="153"/>
      <c r="E213" s="339"/>
      <c r="F213" s="153"/>
      <c r="G213" s="339"/>
      <c r="H213" s="153"/>
      <c r="I213" s="235"/>
      <c r="J213" s="235">
        <v>10</v>
      </c>
      <c r="K213" s="438" t="s">
        <v>274</v>
      </c>
      <c r="L213" s="153" t="s">
        <v>275</v>
      </c>
      <c r="M213" s="339">
        <f>ROUND(((E211*I211*J213* (G211+H211))/(1000000*3.6)),4)</f>
        <v>0.02</v>
      </c>
      <c r="N213" s="439">
        <f>ROUND(((D211*I211*J213*(G211+H211))/1000000000),4)</f>
        <v>6.3E-3</v>
      </c>
      <c r="O213" s="25"/>
      <c r="P213" s="25"/>
      <c r="Q213" s="49"/>
      <c r="R213" s="51"/>
    </row>
    <row r="214" spans="1:18" ht="15" customHeight="1" x14ac:dyDescent="0.25">
      <c r="A214" s="1361"/>
      <c r="B214" s="440"/>
      <c r="C214" s="441"/>
      <c r="D214" s="442"/>
      <c r="E214" s="340"/>
      <c r="F214" s="442"/>
      <c r="G214" s="340"/>
      <c r="H214" s="442"/>
      <c r="I214" s="346"/>
      <c r="J214" s="346">
        <v>20</v>
      </c>
      <c r="K214" s="443" t="s">
        <v>117</v>
      </c>
      <c r="L214" s="430" t="s">
        <v>118</v>
      </c>
      <c r="M214" s="340">
        <f>ROUND(((E211*I211*J214* (G211+H211))/(1000000*3.6)),4)</f>
        <v>0.04</v>
      </c>
      <c r="N214" s="444">
        <f>ROUND(((D211*I211*J214*(G211+H211))/1000000000),4)</f>
        <v>1.2699999999999999E-2</v>
      </c>
      <c r="O214" s="25"/>
      <c r="P214" s="25"/>
      <c r="Q214" s="49"/>
      <c r="R214" s="51"/>
    </row>
    <row r="215" spans="1:18" ht="15" customHeight="1" x14ac:dyDescent="0.25">
      <c r="A215" s="1361"/>
      <c r="B215" s="413" t="s">
        <v>110</v>
      </c>
      <c r="C215" s="413" t="s">
        <v>101</v>
      </c>
      <c r="D215" s="13">
        <v>72</v>
      </c>
      <c r="E215" s="13" t="s">
        <v>90</v>
      </c>
      <c r="F215" s="13" t="s">
        <v>102</v>
      </c>
      <c r="G215" s="13">
        <v>28</v>
      </c>
      <c r="H215" s="13">
        <v>72</v>
      </c>
      <c r="I215" s="13">
        <v>45</v>
      </c>
      <c r="J215" s="227">
        <v>50</v>
      </c>
      <c r="K215" s="463" t="s">
        <v>103</v>
      </c>
      <c r="L215" s="13" t="s">
        <v>104</v>
      </c>
      <c r="M215" s="415">
        <f>ROUND(((E215*I215*J215* (G215+H215))/(1000000*3.6)),4)</f>
        <v>6.25E-2</v>
      </c>
      <c r="N215" s="13">
        <f>ROUND(((D215*I215*J215*(G215+H215))/1000000000),4)</f>
        <v>1.6199999999999999E-2</v>
      </c>
      <c r="O215" s="900"/>
      <c r="P215" s="900"/>
      <c r="Q215" s="50"/>
      <c r="R215" s="9"/>
    </row>
    <row r="216" spans="1:18" ht="15" customHeight="1" x14ac:dyDescent="0.25">
      <c r="A216" s="1361"/>
      <c r="B216" s="424"/>
      <c r="C216" s="425"/>
      <c r="D216" s="426"/>
      <c r="E216" s="426"/>
      <c r="F216" s="426"/>
      <c r="G216" s="426"/>
      <c r="H216" s="426"/>
      <c r="I216" s="426"/>
      <c r="J216" s="427">
        <v>50</v>
      </c>
      <c r="K216" s="443" t="s">
        <v>106</v>
      </c>
      <c r="L216" s="340" t="s">
        <v>107</v>
      </c>
      <c r="M216" s="430">
        <f>ROUND(((E215*I215*J216* (G215+H215))/(1000000*3.6)),4)</f>
        <v>6.25E-2</v>
      </c>
      <c r="N216" s="429">
        <f>ROUND(((D215*I215*J216*(G215+H215))/1000000000),4)</f>
        <v>1.6199999999999999E-2</v>
      </c>
      <c r="O216" s="900"/>
      <c r="P216" s="900"/>
      <c r="Q216" s="50"/>
      <c r="R216" s="9"/>
    </row>
    <row r="217" spans="1:18" ht="15" customHeight="1" x14ac:dyDescent="0.25">
      <c r="A217" s="1377"/>
      <c r="B217" s="464" t="s">
        <v>100</v>
      </c>
      <c r="C217" s="464" t="s">
        <v>101</v>
      </c>
      <c r="D217" s="226">
        <v>36</v>
      </c>
      <c r="E217" s="226" t="s">
        <v>122</v>
      </c>
      <c r="F217" s="226" t="s">
        <v>102</v>
      </c>
      <c r="G217" s="226">
        <v>28</v>
      </c>
      <c r="H217" s="226">
        <v>72</v>
      </c>
      <c r="I217" s="226">
        <v>45</v>
      </c>
      <c r="J217" s="465">
        <v>100</v>
      </c>
      <c r="K217" s="466" t="s">
        <v>103</v>
      </c>
      <c r="L217" s="183" t="s">
        <v>104</v>
      </c>
      <c r="M217" s="467">
        <f>ROUND(((E217*I217*J217* (G217+H217))/(1000000*3.6)),4)</f>
        <v>6.25E-2</v>
      </c>
      <c r="N217" s="226">
        <f>ROUND(((D217*I217*J217*(G217+H217))/1000000000),5)</f>
        <v>1.6199999999999999E-2</v>
      </c>
      <c r="O217" s="900"/>
      <c r="P217" s="900"/>
      <c r="Q217" s="50"/>
      <c r="R217" s="9"/>
    </row>
    <row r="218" spans="1:18" ht="15" customHeight="1" x14ac:dyDescent="0.25">
      <c r="A218" s="1378" t="s">
        <v>497</v>
      </c>
      <c r="B218" s="1379"/>
      <c r="C218" s="1379"/>
      <c r="D218" s="1379"/>
      <c r="E218" s="1379"/>
      <c r="F218" s="1379"/>
      <c r="G218" s="1379"/>
      <c r="H218" s="1379"/>
      <c r="I218" s="1379"/>
      <c r="J218" s="1380"/>
      <c r="K218" s="468" t="s">
        <v>115</v>
      </c>
      <c r="L218" s="449">
        <v>1210</v>
      </c>
      <c r="M218" s="512">
        <f>MAX(M207,M211)</f>
        <v>0.1</v>
      </c>
      <c r="N218" s="449">
        <f>N207+N211</f>
        <v>8.1800000000000012E-2</v>
      </c>
      <c r="O218" s="900"/>
      <c r="P218" s="900"/>
      <c r="Q218" s="50"/>
      <c r="R218" s="9"/>
    </row>
    <row r="219" spans="1:18" ht="15" customHeight="1" x14ac:dyDescent="0.25">
      <c r="A219" s="1381"/>
      <c r="B219" s="1382"/>
      <c r="C219" s="1382"/>
      <c r="D219" s="1382"/>
      <c r="E219" s="1382"/>
      <c r="F219" s="1382"/>
      <c r="G219" s="1382"/>
      <c r="H219" s="1382"/>
      <c r="I219" s="1382"/>
      <c r="J219" s="1383"/>
      <c r="K219" s="450" t="s">
        <v>111</v>
      </c>
      <c r="L219" s="451" t="s">
        <v>112</v>
      </c>
      <c r="M219" s="513">
        <f>MAX(M208,M212)</f>
        <v>0.1</v>
      </c>
      <c r="N219" s="451">
        <f>N208+N212</f>
        <v>3.2730000000000002E-2</v>
      </c>
      <c r="O219" s="900"/>
      <c r="P219" s="900"/>
      <c r="Q219" s="50"/>
      <c r="R219" s="9"/>
    </row>
    <row r="220" spans="1:18" ht="15" customHeight="1" x14ac:dyDescent="0.25">
      <c r="A220" s="1381"/>
      <c r="B220" s="1382"/>
      <c r="C220" s="1382"/>
      <c r="D220" s="1382"/>
      <c r="E220" s="1382"/>
      <c r="F220" s="1382"/>
      <c r="G220" s="1382"/>
      <c r="H220" s="1382"/>
      <c r="I220" s="1382"/>
      <c r="J220" s="1383"/>
      <c r="K220" s="450" t="s">
        <v>274</v>
      </c>
      <c r="L220" s="452" t="s">
        <v>275</v>
      </c>
      <c r="M220" s="513">
        <f>MAX(M209,M213)</f>
        <v>0.02</v>
      </c>
      <c r="N220" s="451">
        <f>N209+N213</f>
        <v>1.6300000000000002E-2</v>
      </c>
      <c r="O220" s="900"/>
      <c r="P220" s="900"/>
      <c r="Q220" s="50"/>
      <c r="R220" s="9"/>
    </row>
    <row r="221" spans="1:18" ht="15" customHeight="1" x14ac:dyDescent="0.25">
      <c r="A221" s="1381"/>
      <c r="B221" s="1382"/>
      <c r="C221" s="1382"/>
      <c r="D221" s="1382"/>
      <c r="E221" s="1382"/>
      <c r="F221" s="1382"/>
      <c r="G221" s="1382"/>
      <c r="H221" s="1382"/>
      <c r="I221" s="1382"/>
      <c r="J221" s="1383"/>
      <c r="K221" s="450" t="s">
        <v>117</v>
      </c>
      <c r="L221" s="451" t="s">
        <v>118</v>
      </c>
      <c r="M221" s="513">
        <f>MAX(M210,M214)</f>
        <v>0.04</v>
      </c>
      <c r="N221" s="451">
        <f>N210+N214</f>
        <v>3.2799999999999996E-2</v>
      </c>
      <c r="O221" s="900"/>
      <c r="P221" s="900"/>
      <c r="Q221" s="50"/>
      <c r="R221" s="9"/>
    </row>
    <row r="222" spans="1:18" ht="15" customHeight="1" x14ac:dyDescent="0.25">
      <c r="A222" s="1381"/>
      <c r="B222" s="1382"/>
      <c r="C222" s="1382"/>
      <c r="D222" s="1382"/>
      <c r="E222" s="1382"/>
      <c r="F222" s="1382"/>
      <c r="G222" s="1382"/>
      <c r="H222" s="1382"/>
      <c r="I222" s="1382"/>
      <c r="J222" s="1383"/>
      <c r="K222" s="469" t="s">
        <v>103</v>
      </c>
      <c r="L222" s="452" t="s">
        <v>104</v>
      </c>
      <c r="M222" s="451">
        <f>MAX(M215,M217)</f>
        <v>6.25E-2</v>
      </c>
      <c r="N222" s="451">
        <f>N215+N217</f>
        <v>3.2399999999999998E-2</v>
      </c>
      <c r="O222" s="900"/>
      <c r="P222" s="900"/>
      <c r="Q222" s="50"/>
      <c r="R222" s="9"/>
    </row>
    <row r="223" spans="1:18" ht="15" customHeight="1" x14ac:dyDescent="0.25">
      <c r="A223" s="1384"/>
      <c r="B223" s="1385"/>
      <c r="C223" s="1385"/>
      <c r="D223" s="1385"/>
      <c r="E223" s="1385"/>
      <c r="F223" s="1385"/>
      <c r="G223" s="1385"/>
      <c r="H223" s="1385"/>
      <c r="I223" s="1385"/>
      <c r="J223" s="1386"/>
      <c r="K223" s="454" t="s">
        <v>106</v>
      </c>
      <c r="L223" s="456" t="s">
        <v>107</v>
      </c>
      <c r="M223" s="456">
        <f>M216</f>
        <v>6.25E-2</v>
      </c>
      <c r="N223" s="456">
        <f>N216</f>
        <v>1.6199999999999999E-2</v>
      </c>
      <c r="O223" s="25">
        <f>SUM(M218:M223)</f>
        <v>0.38500000000000001</v>
      </c>
      <c r="P223" s="25">
        <f>SUM(N218:N223)</f>
        <v>0.21223000000000003</v>
      </c>
      <c r="Q223" s="50"/>
      <c r="R223" s="9"/>
    </row>
    <row r="224" spans="1:18" ht="15" customHeight="1" x14ac:dyDescent="0.25">
      <c r="A224" s="1353" t="s">
        <v>288</v>
      </c>
      <c r="B224" s="1358"/>
      <c r="C224" s="1358"/>
      <c r="D224" s="1358"/>
      <c r="E224" s="1358"/>
      <c r="F224" s="1358"/>
      <c r="G224" s="1358"/>
      <c r="H224" s="1358"/>
      <c r="I224" s="1358"/>
      <c r="J224" s="1358"/>
      <c r="K224" s="1358"/>
      <c r="L224" s="1358"/>
      <c r="M224" s="1358"/>
      <c r="N224" s="1359"/>
      <c r="O224" s="911"/>
      <c r="P224" s="911"/>
      <c r="Q224" s="49"/>
      <c r="R224" s="51"/>
    </row>
    <row r="225" spans="1:18" ht="15" customHeight="1" x14ac:dyDescent="0.25">
      <c r="A225" s="1360">
        <v>7104</v>
      </c>
      <c r="B225" s="413" t="s">
        <v>110</v>
      </c>
      <c r="C225" s="413" t="s">
        <v>101</v>
      </c>
      <c r="D225" s="13">
        <v>12</v>
      </c>
      <c r="E225" s="13" t="s">
        <v>122</v>
      </c>
      <c r="F225" s="13" t="s">
        <v>102</v>
      </c>
      <c r="G225" s="13">
        <v>28</v>
      </c>
      <c r="H225" s="13">
        <v>72</v>
      </c>
      <c r="I225" s="13">
        <v>45</v>
      </c>
      <c r="J225" s="227">
        <v>50</v>
      </c>
      <c r="K225" s="463" t="s">
        <v>103</v>
      </c>
      <c r="L225" s="13" t="s">
        <v>104</v>
      </c>
      <c r="M225" s="415">
        <f>ROUND(((E225*I225*J225* (G225+H225))/(1000000*3.6)),4)</f>
        <v>3.1300000000000001E-2</v>
      </c>
      <c r="N225" s="13">
        <f>ROUND(((D225*I225*J225*(G225+H225))/1000000000),4)</f>
        <v>2.7000000000000001E-3</v>
      </c>
      <c r="O225" s="900"/>
      <c r="P225" s="900"/>
    </row>
    <row r="226" spans="1:18" ht="15" customHeight="1" x14ac:dyDescent="0.25">
      <c r="A226" s="1361"/>
      <c r="B226" s="424"/>
      <c r="C226" s="425"/>
      <c r="D226" s="426"/>
      <c r="E226" s="426"/>
      <c r="F226" s="426"/>
      <c r="G226" s="426"/>
      <c r="H226" s="426"/>
      <c r="I226" s="426"/>
      <c r="J226" s="427">
        <v>50</v>
      </c>
      <c r="K226" s="443" t="s">
        <v>106</v>
      </c>
      <c r="L226" s="340" t="s">
        <v>107</v>
      </c>
      <c r="M226" s="430">
        <f>ROUND(((E225*I225*J226* (G225+H225))/(1000000*3.6)),4)</f>
        <v>3.1300000000000001E-2</v>
      </c>
      <c r="N226" s="429">
        <f>ROUND(((D225*I225*J226*(G225+H225))/1000000000),4)</f>
        <v>2.7000000000000001E-3</v>
      </c>
      <c r="O226" s="900"/>
      <c r="P226" s="900"/>
    </row>
    <row r="227" spans="1:18" ht="15" customHeight="1" x14ac:dyDescent="0.25">
      <c r="A227" s="1361"/>
      <c r="B227" s="464" t="s">
        <v>100</v>
      </c>
      <c r="C227" s="464" t="s">
        <v>101</v>
      </c>
      <c r="D227" s="226">
        <v>6</v>
      </c>
      <c r="E227" s="226" t="s">
        <v>122</v>
      </c>
      <c r="F227" s="226" t="s">
        <v>102</v>
      </c>
      <c r="G227" s="226">
        <v>28</v>
      </c>
      <c r="H227" s="226">
        <v>72</v>
      </c>
      <c r="I227" s="226">
        <v>45</v>
      </c>
      <c r="J227" s="465">
        <v>100</v>
      </c>
      <c r="K227" s="466" t="s">
        <v>103</v>
      </c>
      <c r="L227" s="183" t="s">
        <v>104</v>
      </c>
      <c r="M227" s="467">
        <f>ROUND(((E227*I227*J227* (G227+H227))/(1000000*3.6)),4)</f>
        <v>6.25E-2</v>
      </c>
      <c r="N227" s="226">
        <f>ROUND(((D227*I227*J227*(G227+H227))/1000000000),5)</f>
        <v>2.7000000000000001E-3</v>
      </c>
      <c r="O227" s="900"/>
      <c r="P227" s="900"/>
    </row>
    <row r="228" spans="1:18" ht="15" customHeight="1" x14ac:dyDescent="0.25">
      <c r="A228" s="1361"/>
      <c r="B228" s="431" t="s">
        <v>339</v>
      </c>
      <c r="C228" s="432" t="s">
        <v>101</v>
      </c>
      <c r="D228" s="433">
        <v>11.3</v>
      </c>
      <c r="E228" s="12" t="s">
        <v>340</v>
      </c>
      <c r="F228" s="433" t="s">
        <v>102</v>
      </c>
      <c r="G228" s="12">
        <v>28</v>
      </c>
      <c r="H228" s="433">
        <v>72</v>
      </c>
      <c r="I228" s="345">
        <v>64.5</v>
      </c>
      <c r="J228" s="345">
        <v>50</v>
      </c>
      <c r="K228" s="434" t="s">
        <v>115</v>
      </c>
      <c r="L228" s="13">
        <v>1210</v>
      </c>
      <c r="M228" s="12">
        <f>ROUND(((E228*I228*J228* (G228+H228))/(1000000*3.6)),4)</f>
        <v>8.9599999999999999E-2</v>
      </c>
      <c r="N228" s="435">
        <f>ROUND(((D228*I228*J228*(G228+H228))/1000000000),4)</f>
        <v>3.5999999999999999E-3</v>
      </c>
      <c r="O228" s="25"/>
      <c r="P228" s="25"/>
    </row>
    <row r="229" spans="1:18" ht="15" customHeight="1" x14ac:dyDescent="0.25">
      <c r="A229" s="1361"/>
      <c r="B229" s="436"/>
      <c r="C229" s="437"/>
      <c r="D229" s="153"/>
      <c r="E229" s="339"/>
      <c r="F229" s="153"/>
      <c r="G229" s="339"/>
      <c r="H229" s="153"/>
      <c r="I229" s="235"/>
      <c r="J229" s="235">
        <v>20</v>
      </c>
      <c r="K229" s="438" t="s">
        <v>111</v>
      </c>
      <c r="L229" s="421" t="s">
        <v>112</v>
      </c>
      <c r="M229" s="339">
        <f>ROUND(((E228*I228*J228* (G228+H228))/(1000000*3.6)),4)</f>
        <v>8.9599999999999999E-2</v>
      </c>
      <c r="N229" s="439">
        <f>ROUND(((D228*I228*J229*(G228+H228))/1000000000),5)</f>
        <v>1.4599999999999999E-3</v>
      </c>
      <c r="O229" s="25"/>
      <c r="P229" s="25"/>
    </row>
    <row r="230" spans="1:18" ht="15" customHeight="1" x14ac:dyDescent="0.25">
      <c r="A230" s="1361"/>
      <c r="B230" s="436"/>
      <c r="C230" s="437"/>
      <c r="D230" s="153"/>
      <c r="E230" s="339"/>
      <c r="F230" s="153"/>
      <c r="G230" s="339"/>
      <c r="H230" s="153"/>
      <c r="I230" s="235"/>
      <c r="J230" s="235">
        <v>10</v>
      </c>
      <c r="K230" s="438" t="s">
        <v>274</v>
      </c>
      <c r="L230" s="153" t="s">
        <v>275</v>
      </c>
      <c r="M230" s="339">
        <f>ROUND(((E228*I228*J230* (G228+H228))/(1000000*3.6)),4)</f>
        <v>1.7899999999999999E-2</v>
      </c>
      <c r="N230" s="439">
        <f>ROUND(((D228*I228*J230*(G228+H228))/1000000000),4)</f>
        <v>6.9999999999999999E-4</v>
      </c>
      <c r="O230" s="25"/>
      <c r="P230" s="25"/>
    </row>
    <row r="231" spans="1:18" ht="15" customHeight="1" x14ac:dyDescent="0.25">
      <c r="A231" s="1377"/>
      <c r="B231" s="440"/>
      <c r="C231" s="441"/>
      <c r="D231" s="442"/>
      <c r="E231" s="340"/>
      <c r="F231" s="442"/>
      <c r="G231" s="340"/>
      <c r="H231" s="442"/>
      <c r="I231" s="346"/>
      <c r="J231" s="346">
        <v>20</v>
      </c>
      <c r="K231" s="443" t="s">
        <v>117</v>
      </c>
      <c r="L231" s="430" t="s">
        <v>118</v>
      </c>
      <c r="M231" s="340">
        <f>ROUND(((E228*I228*J231* (G228+H228))/(1000000*3.6)),4)</f>
        <v>3.5799999999999998E-2</v>
      </c>
      <c r="N231" s="444">
        <f>ROUND(((D228*I228*J231*(G228+H228))/1000000000),4)</f>
        <v>1.5E-3</v>
      </c>
      <c r="O231" s="25"/>
      <c r="P231" s="25"/>
    </row>
    <row r="232" spans="1:18" ht="15" customHeight="1" x14ac:dyDescent="0.25">
      <c r="A232" s="1378" t="s">
        <v>500</v>
      </c>
      <c r="B232" s="1379"/>
      <c r="C232" s="1379"/>
      <c r="D232" s="1379"/>
      <c r="E232" s="1379"/>
      <c r="F232" s="1379"/>
      <c r="G232" s="1379"/>
      <c r="H232" s="1379"/>
      <c r="I232" s="1379"/>
      <c r="J232" s="1380"/>
      <c r="K232" s="468" t="s">
        <v>115</v>
      </c>
      <c r="L232" s="449">
        <v>1210</v>
      </c>
      <c r="M232" s="448">
        <f t="shared" ref="M232:N235" si="2">M228</f>
        <v>8.9599999999999999E-2</v>
      </c>
      <c r="N232" s="514">
        <f t="shared" si="2"/>
        <v>3.5999999999999999E-3</v>
      </c>
      <c r="O232" s="25"/>
      <c r="P232" s="25"/>
    </row>
    <row r="233" spans="1:18" ht="15" customHeight="1" x14ac:dyDescent="0.25">
      <c r="A233" s="1381"/>
      <c r="B233" s="1382"/>
      <c r="C233" s="1382"/>
      <c r="D233" s="1382"/>
      <c r="E233" s="1382"/>
      <c r="F233" s="1382"/>
      <c r="G233" s="1382"/>
      <c r="H233" s="1382"/>
      <c r="I233" s="1382"/>
      <c r="J233" s="1383"/>
      <c r="K233" s="450" t="s">
        <v>111</v>
      </c>
      <c r="L233" s="451" t="s">
        <v>112</v>
      </c>
      <c r="M233" s="452">
        <f t="shared" si="2"/>
        <v>8.9599999999999999E-2</v>
      </c>
      <c r="N233" s="515">
        <f t="shared" si="2"/>
        <v>1.4599999999999999E-3</v>
      </c>
      <c r="O233" s="25"/>
      <c r="P233" s="25"/>
    </row>
    <row r="234" spans="1:18" ht="15" customHeight="1" x14ac:dyDescent="0.25">
      <c r="A234" s="1381"/>
      <c r="B234" s="1382"/>
      <c r="C234" s="1382"/>
      <c r="D234" s="1382"/>
      <c r="E234" s="1382"/>
      <c r="F234" s="1382"/>
      <c r="G234" s="1382"/>
      <c r="H234" s="1382"/>
      <c r="I234" s="1382"/>
      <c r="J234" s="1383"/>
      <c r="K234" s="450" t="s">
        <v>274</v>
      </c>
      <c r="L234" s="452" t="s">
        <v>275</v>
      </c>
      <c r="M234" s="452">
        <f t="shared" si="2"/>
        <v>1.7899999999999999E-2</v>
      </c>
      <c r="N234" s="515">
        <f t="shared" si="2"/>
        <v>6.9999999999999999E-4</v>
      </c>
      <c r="O234" s="25"/>
      <c r="P234" s="25"/>
    </row>
    <row r="235" spans="1:18" ht="15" customHeight="1" x14ac:dyDescent="0.25">
      <c r="A235" s="1381"/>
      <c r="B235" s="1382"/>
      <c r="C235" s="1382"/>
      <c r="D235" s="1382"/>
      <c r="E235" s="1382"/>
      <c r="F235" s="1382"/>
      <c r="G235" s="1382"/>
      <c r="H235" s="1382"/>
      <c r="I235" s="1382"/>
      <c r="J235" s="1383"/>
      <c r="K235" s="450" t="s">
        <v>117</v>
      </c>
      <c r="L235" s="451" t="s">
        <v>118</v>
      </c>
      <c r="M235" s="452">
        <f t="shared" si="2"/>
        <v>3.5799999999999998E-2</v>
      </c>
      <c r="N235" s="515">
        <f t="shared" si="2"/>
        <v>1.5E-3</v>
      </c>
      <c r="O235" s="25"/>
      <c r="P235" s="25"/>
    </row>
    <row r="236" spans="1:18" ht="15" customHeight="1" x14ac:dyDescent="0.25">
      <c r="A236" s="1381"/>
      <c r="B236" s="1382"/>
      <c r="C236" s="1382"/>
      <c r="D236" s="1382"/>
      <c r="E236" s="1382"/>
      <c r="F236" s="1382"/>
      <c r="G236" s="1382"/>
      <c r="H236" s="1382"/>
      <c r="I236" s="1382"/>
      <c r="J236" s="1383"/>
      <c r="K236" s="469" t="s">
        <v>103</v>
      </c>
      <c r="L236" s="452" t="s">
        <v>104</v>
      </c>
      <c r="M236" s="451">
        <f>MAX(M225,M227)</f>
        <v>6.25E-2</v>
      </c>
      <c r="N236" s="451">
        <f>N225+N227</f>
        <v>5.4000000000000003E-3</v>
      </c>
      <c r="O236" s="900"/>
      <c r="P236" s="900"/>
    </row>
    <row r="237" spans="1:18" ht="15" customHeight="1" x14ac:dyDescent="0.25">
      <c r="A237" s="1384"/>
      <c r="B237" s="1385"/>
      <c r="C237" s="1385"/>
      <c r="D237" s="1385"/>
      <c r="E237" s="1385"/>
      <c r="F237" s="1385"/>
      <c r="G237" s="1385"/>
      <c r="H237" s="1385"/>
      <c r="I237" s="1385"/>
      <c r="J237" s="1386"/>
      <c r="K237" s="454" t="s">
        <v>106</v>
      </c>
      <c r="L237" s="456" t="s">
        <v>107</v>
      </c>
      <c r="M237" s="456">
        <f>M226</f>
        <v>3.1300000000000001E-2</v>
      </c>
      <c r="N237" s="456">
        <f>N226</f>
        <v>2.7000000000000001E-3</v>
      </c>
      <c r="O237" s="25">
        <f>SUM(M232:M237)</f>
        <v>0.32669999999999999</v>
      </c>
      <c r="P237" s="25">
        <f>SUM(N232:N237)</f>
        <v>1.5360000000000002E-2</v>
      </c>
    </row>
    <row r="238" spans="1:18" ht="15" customHeight="1" x14ac:dyDescent="0.25">
      <c r="A238" s="1353" t="s">
        <v>291</v>
      </c>
      <c r="B238" s="1358"/>
      <c r="C238" s="1358"/>
      <c r="D238" s="1358"/>
      <c r="E238" s="1358"/>
      <c r="F238" s="1358"/>
      <c r="G238" s="1358"/>
      <c r="H238" s="1358"/>
      <c r="I238" s="1358"/>
      <c r="J238" s="1358"/>
      <c r="K238" s="1354"/>
      <c r="L238" s="1354"/>
      <c r="M238" s="1358"/>
      <c r="N238" s="1359"/>
      <c r="O238" s="911"/>
      <c r="P238" s="911"/>
    </row>
    <row r="239" spans="1:18" ht="15" customHeight="1" x14ac:dyDescent="0.25">
      <c r="A239" s="1357" t="s">
        <v>504</v>
      </c>
      <c r="B239" s="457" t="s">
        <v>344</v>
      </c>
      <c r="C239" s="458" t="s">
        <v>101</v>
      </c>
      <c r="D239" s="12">
        <v>4295.6000000000004</v>
      </c>
      <c r="E239" s="12" t="s">
        <v>507</v>
      </c>
      <c r="F239" s="183" t="s">
        <v>102</v>
      </c>
      <c r="G239" s="183">
        <v>28</v>
      </c>
      <c r="H239" s="183">
        <v>72</v>
      </c>
      <c r="I239" s="12">
        <v>45</v>
      </c>
      <c r="J239" s="12">
        <v>100</v>
      </c>
      <c r="K239" s="470" t="s">
        <v>205</v>
      </c>
      <c r="L239" s="12" t="s">
        <v>59</v>
      </c>
      <c r="M239" s="183">
        <f>ROUND(((E239*I239*J239* (G239+H239))/(1000000*3.6)),4)</f>
        <v>0.6875</v>
      </c>
      <c r="N239" s="183">
        <f>ROUND(((D239*I239*J239*(G239+H239))/1000000000),4)</f>
        <v>1.9330000000000001</v>
      </c>
      <c r="O239" s="25"/>
      <c r="P239" s="25"/>
      <c r="Q239" s="50"/>
      <c r="R239" s="9"/>
    </row>
    <row r="240" spans="1:18" ht="15" customHeight="1" x14ac:dyDescent="0.25">
      <c r="A240" s="1357"/>
      <c r="B240" s="431" t="s">
        <v>353</v>
      </c>
      <c r="C240" s="432" t="s">
        <v>101</v>
      </c>
      <c r="D240" s="433">
        <v>1010.8</v>
      </c>
      <c r="E240" s="12" t="s">
        <v>449</v>
      </c>
      <c r="F240" s="433" t="s">
        <v>102</v>
      </c>
      <c r="G240" s="12">
        <v>28</v>
      </c>
      <c r="H240" s="433">
        <v>72</v>
      </c>
      <c r="I240" s="345">
        <v>70</v>
      </c>
      <c r="J240" s="345">
        <v>20</v>
      </c>
      <c r="K240" s="434" t="s">
        <v>115</v>
      </c>
      <c r="L240" s="13">
        <v>1210</v>
      </c>
      <c r="M240" s="435">
        <f>ROUND(((E240*I240*J240* (G240+H240))/(1000000*3.6)),4)</f>
        <v>0.1361</v>
      </c>
      <c r="N240" s="435">
        <f>ROUND(((D240*I240*J240*(G240+H240))/1000000000),4)</f>
        <v>0.14149999999999999</v>
      </c>
      <c r="O240" s="25"/>
      <c r="P240" s="25"/>
      <c r="Q240" s="49"/>
      <c r="R240" s="9"/>
    </row>
    <row r="241" spans="1:18" ht="15" customHeight="1" x14ac:dyDescent="0.25">
      <c r="A241" s="1357"/>
      <c r="B241" s="436" t="s">
        <v>506</v>
      </c>
      <c r="C241" s="437"/>
      <c r="D241" s="153"/>
      <c r="E241" s="339"/>
      <c r="F241" s="153"/>
      <c r="G241" s="339"/>
      <c r="H241" s="153"/>
      <c r="I241" s="235"/>
      <c r="J241" s="235">
        <v>80</v>
      </c>
      <c r="K241" s="516" t="s">
        <v>103</v>
      </c>
      <c r="L241" s="340" t="s">
        <v>104</v>
      </c>
      <c r="M241" s="439">
        <f>ROUND(((E240*I240*J240* (G240+H240))/(1000000*3.6)),4)</f>
        <v>0.1361</v>
      </c>
      <c r="N241" s="439">
        <f>ROUND(((D240*I240*J241*(G240+H240))/1000000000),5)</f>
        <v>0.56605000000000005</v>
      </c>
      <c r="O241" s="25"/>
      <c r="P241" s="25"/>
      <c r="Q241" s="49"/>
      <c r="R241" s="9"/>
    </row>
    <row r="242" spans="1:18" ht="15" customHeight="1" x14ac:dyDescent="0.25">
      <c r="A242" s="1357"/>
      <c r="B242" s="431" t="s">
        <v>339</v>
      </c>
      <c r="C242" s="432" t="s">
        <v>101</v>
      </c>
      <c r="D242" s="433">
        <v>37.700000000000003</v>
      </c>
      <c r="E242" s="12" t="s">
        <v>340</v>
      </c>
      <c r="F242" s="433" t="s">
        <v>102</v>
      </c>
      <c r="G242" s="12">
        <v>28</v>
      </c>
      <c r="H242" s="433">
        <v>72</v>
      </c>
      <c r="I242" s="345">
        <v>64.5</v>
      </c>
      <c r="J242" s="345">
        <v>50</v>
      </c>
      <c r="K242" s="420" t="s">
        <v>115</v>
      </c>
      <c r="L242" s="422">
        <v>1210</v>
      </c>
      <c r="M242" s="12">
        <f>ROUND(((E242*I242*J242* (G242+H242))/(1000000*3.6)),4)</f>
        <v>8.9599999999999999E-2</v>
      </c>
      <c r="N242" s="435">
        <f>ROUND(((D242*I242*J242*(G242+H242))/1000000000),4)</f>
        <v>1.2200000000000001E-2</v>
      </c>
      <c r="O242" s="25"/>
      <c r="P242" s="25"/>
      <c r="Q242" s="49"/>
      <c r="R242" s="9"/>
    </row>
    <row r="243" spans="1:18" ht="15" customHeight="1" x14ac:dyDescent="0.25">
      <c r="A243" s="1357"/>
      <c r="B243" s="436"/>
      <c r="C243" s="437"/>
      <c r="D243" s="153"/>
      <c r="E243" s="339"/>
      <c r="F243" s="153"/>
      <c r="G243" s="339"/>
      <c r="H243" s="153"/>
      <c r="I243" s="235"/>
      <c r="J243" s="235">
        <v>20</v>
      </c>
      <c r="K243" s="438" t="s">
        <v>111</v>
      </c>
      <c r="L243" s="421" t="s">
        <v>112</v>
      </c>
      <c r="M243" s="339">
        <f>ROUND(((E242*I242*J242* (G242+H242))/(1000000*3.6)),4)</f>
        <v>8.9599999999999999E-2</v>
      </c>
      <c r="N243" s="439">
        <f>ROUND(((D242*I242*J243*(G242+H242))/1000000000),5)</f>
        <v>4.8599999999999997E-3</v>
      </c>
      <c r="O243" s="25"/>
      <c r="P243" s="25"/>
      <c r="Q243" s="49"/>
      <c r="R243" s="9"/>
    </row>
    <row r="244" spans="1:18" ht="15" customHeight="1" x14ac:dyDescent="0.25">
      <c r="A244" s="1357"/>
      <c r="B244" s="436"/>
      <c r="C244" s="437"/>
      <c r="D244" s="153"/>
      <c r="E244" s="339"/>
      <c r="F244" s="153"/>
      <c r="G244" s="339"/>
      <c r="H244" s="153"/>
      <c r="I244" s="235"/>
      <c r="J244" s="235">
        <v>10</v>
      </c>
      <c r="K244" s="438" t="s">
        <v>274</v>
      </c>
      <c r="L244" s="153" t="s">
        <v>275</v>
      </c>
      <c r="M244" s="339">
        <f>ROUND(((E242*I242*J244* (G242+H242))/(1000000*3.6)),4)</f>
        <v>1.7899999999999999E-2</v>
      </c>
      <c r="N244" s="439">
        <f>ROUND(((D242*I242*J244*(G242+H242))/1000000000),4)</f>
        <v>2.3999999999999998E-3</v>
      </c>
      <c r="O244" s="25"/>
      <c r="P244" s="25"/>
      <c r="Q244" s="49"/>
      <c r="R244" s="9"/>
    </row>
    <row r="245" spans="1:18" ht="15" customHeight="1" x14ac:dyDescent="0.25">
      <c r="A245" s="1357"/>
      <c r="B245" s="440"/>
      <c r="C245" s="441"/>
      <c r="D245" s="442"/>
      <c r="E245" s="340"/>
      <c r="F245" s="442"/>
      <c r="G245" s="340"/>
      <c r="H245" s="442"/>
      <c r="I245" s="346"/>
      <c r="J245" s="346">
        <v>20</v>
      </c>
      <c r="K245" s="443" t="s">
        <v>117</v>
      </c>
      <c r="L245" s="430" t="s">
        <v>118</v>
      </c>
      <c r="M245" s="340">
        <f>ROUND(((E242*I242*J245* (G242+H242))/(1000000*3.6)),4)</f>
        <v>3.5799999999999998E-2</v>
      </c>
      <c r="N245" s="444">
        <f>ROUND(((D242*I242*J245*(G242+H242))/1000000000),4)</f>
        <v>4.8999999999999998E-3</v>
      </c>
      <c r="O245" s="25"/>
      <c r="P245" s="25"/>
      <c r="Q245" s="49"/>
      <c r="R245" s="9"/>
    </row>
    <row r="246" spans="1:18" ht="25.5" customHeight="1" x14ac:dyDescent="0.25">
      <c r="A246" s="1378" t="s">
        <v>505</v>
      </c>
      <c r="B246" s="1379"/>
      <c r="C246" s="1379"/>
      <c r="D246" s="1379"/>
      <c r="E246" s="1379"/>
      <c r="F246" s="1379"/>
      <c r="G246" s="1379"/>
      <c r="H246" s="1379"/>
      <c r="I246" s="1379"/>
      <c r="J246" s="1380"/>
      <c r="K246" s="447" t="s">
        <v>205</v>
      </c>
      <c r="L246" s="448" t="s">
        <v>59</v>
      </c>
      <c r="M246" s="448">
        <f>M239</f>
        <v>0.6875</v>
      </c>
      <c r="N246" s="514">
        <f>N239</f>
        <v>1.9330000000000001</v>
      </c>
      <c r="O246" s="25"/>
      <c r="P246" s="25"/>
      <c r="Q246" s="49"/>
      <c r="R246" s="9"/>
    </row>
    <row r="247" spans="1:18" ht="15" customHeight="1" x14ac:dyDescent="0.25">
      <c r="A247" s="1381"/>
      <c r="B247" s="1382"/>
      <c r="C247" s="1382"/>
      <c r="D247" s="1382"/>
      <c r="E247" s="1382"/>
      <c r="F247" s="1382"/>
      <c r="G247" s="1382"/>
      <c r="H247" s="1382"/>
      <c r="I247" s="1382"/>
      <c r="J247" s="1383"/>
      <c r="K247" s="450" t="s">
        <v>115</v>
      </c>
      <c r="L247" s="451">
        <v>1210</v>
      </c>
      <c r="M247" s="452">
        <f>MAX(M240,M242)</f>
        <v>0.1361</v>
      </c>
      <c r="N247" s="452">
        <f>N240+N242</f>
        <v>0.15369999999999998</v>
      </c>
      <c r="O247" s="25"/>
      <c r="P247" s="25"/>
    </row>
    <row r="248" spans="1:18" ht="15" customHeight="1" x14ac:dyDescent="0.25">
      <c r="A248" s="1381"/>
      <c r="B248" s="1382"/>
      <c r="C248" s="1382"/>
      <c r="D248" s="1382"/>
      <c r="E248" s="1382"/>
      <c r="F248" s="1382"/>
      <c r="G248" s="1382"/>
      <c r="H248" s="1382"/>
      <c r="I248" s="1382"/>
      <c r="J248" s="1383"/>
      <c r="K248" s="510" t="s">
        <v>103</v>
      </c>
      <c r="L248" s="452" t="s">
        <v>104</v>
      </c>
      <c r="M248" s="452">
        <f>M241</f>
        <v>0.1361</v>
      </c>
      <c r="N248" s="452">
        <f>N241</f>
        <v>0.56605000000000005</v>
      </c>
      <c r="O248" s="25"/>
      <c r="P248" s="25"/>
    </row>
    <row r="249" spans="1:18" ht="15" customHeight="1" x14ac:dyDescent="0.25">
      <c r="A249" s="1381"/>
      <c r="B249" s="1382"/>
      <c r="C249" s="1382"/>
      <c r="D249" s="1382"/>
      <c r="E249" s="1382"/>
      <c r="F249" s="1382"/>
      <c r="G249" s="1382"/>
      <c r="H249" s="1382"/>
      <c r="I249" s="1382"/>
      <c r="J249" s="1383"/>
      <c r="K249" s="450" t="s">
        <v>111</v>
      </c>
      <c r="L249" s="451" t="s">
        <v>112</v>
      </c>
      <c r="M249" s="452">
        <f t="shared" ref="M249:N251" si="3">M243</f>
        <v>8.9599999999999999E-2</v>
      </c>
      <c r="N249" s="452">
        <f t="shared" si="3"/>
        <v>4.8599999999999997E-3</v>
      </c>
      <c r="O249" s="25"/>
      <c r="P249" s="25"/>
    </row>
    <row r="250" spans="1:18" ht="15" customHeight="1" x14ac:dyDescent="0.25">
      <c r="A250" s="1381"/>
      <c r="B250" s="1382"/>
      <c r="C250" s="1382"/>
      <c r="D250" s="1382"/>
      <c r="E250" s="1382"/>
      <c r="F250" s="1382"/>
      <c r="G250" s="1382"/>
      <c r="H250" s="1382"/>
      <c r="I250" s="1382"/>
      <c r="J250" s="1383"/>
      <c r="K250" s="450" t="s">
        <v>274</v>
      </c>
      <c r="L250" s="452" t="s">
        <v>275</v>
      </c>
      <c r="M250" s="452">
        <f t="shared" si="3"/>
        <v>1.7899999999999999E-2</v>
      </c>
      <c r="N250" s="452">
        <f t="shared" si="3"/>
        <v>2.3999999999999998E-3</v>
      </c>
      <c r="O250" s="25"/>
      <c r="P250" s="25"/>
    </row>
    <row r="251" spans="1:18" ht="15" customHeight="1" x14ac:dyDescent="0.25">
      <c r="A251" s="1384"/>
      <c r="B251" s="1385"/>
      <c r="C251" s="1385"/>
      <c r="D251" s="1385"/>
      <c r="E251" s="1385"/>
      <c r="F251" s="1385"/>
      <c r="G251" s="1385"/>
      <c r="H251" s="1385"/>
      <c r="I251" s="1385"/>
      <c r="J251" s="1386"/>
      <c r="K251" s="454" t="s">
        <v>117</v>
      </c>
      <c r="L251" s="455" t="s">
        <v>118</v>
      </c>
      <c r="M251" s="456">
        <f t="shared" si="3"/>
        <v>3.5799999999999998E-2</v>
      </c>
      <c r="N251" s="456">
        <f t="shared" si="3"/>
        <v>4.8999999999999998E-3</v>
      </c>
      <c r="O251" s="25">
        <f>SUM(M246:M251)</f>
        <v>1.103</v>
      </c>
      <c r="P251" s="25">
        <f>SUM(N246:N251)</f>
        <v>2.6649100000000003</v>
      </c>
      <c r="Q251" s="50"/>
      <c r="R251" s="9"/>
    </row>
    <row r="252" spans="1:18" ht="15" customHeight="1" x14ac:dyDescent="0.3">
      <c r="A252" s="1370" t="s">
        <v>60</v>
      </c>
      <c r="B252" s="1370"/>
      <c r="C252" s="1370"/>
      <c r="D252" s="1370"/>
      <c r="E252" s="1370"/>
      <c r="F252" s="1370"/>
      <c r="G252" s="1370"/>
      <c r="H252" s="1370"/>
      <c r="I252" s="1370"/>
      <c r="J252" s="1370"/>
      <c r="K252" s="1370"/>
      <c r="L252" s="1370"/>
      <c r="M252" s="1370"/>
      <c r="N252" s="1370"/>
      <c r="O252" s="909">
        <f>SUM(O123:O251)</f>
        <v>4.2683999999999997</v>
      </c>
      <c r="P252" s="909">
        <f>SUM(P112:P251)</f>
        <v>6.0280700000000005</v>
      </c>
      <c r="Q252" s="910">
        <v>2027</v>
      </c>
    </row>
    <row r="253" spans="1:18" ht="15" customHeight="1" x14ac:dyDescent="0.25">
      <c r="A253" s="1371" t="s">
        <v>8</v>
      </c>
      <c r="B253" s="1372"/>
      <c r="C253" s="1372"/>
      <c r="D253" s="1372"/>
      <c r="E253" s="1372"/>
      <c r="F253" s="1372"/>
      <c r="G253" s="1372"/>
      <c r="H253" s="1372"/>
      <c r="I253" s="1372"/>
      <c r="J253" s="1372"/>
      <c r="K253" s="1372"/>
      <c r="L253" s="1372"/>
      <c r="M253" s="1372"/>
      <c r="N253" s="1373"/>
      <c r="O253" s="908"/>
      <c r="P253" s="908"/>
    </row>
    <row r="254" spans="1:18" ht="15" customHeight="1" x14ac:dyDescent="0.25">
      <c r="A254" s="1387">
        <v>7005</v>
      </c>
      <c r="B254" s="359" t="s">
        <v>119</v>
      </c>
      <c r="C254" s="360" t="s">
        <v>101</v>
      </c>
      <c r="D254" s="361">
        <v>136.1</v>
      </c>
      <c r="E254" s="362" t="s">
        <v>122</v>
      </c>
      <c r="F254" s="361" t="s">
        <v>102</v>
      </c>
      <c r="G254" s="362">
        <v>28</v>
      </c>
      <c r="H254" s="361">
        <v>72</v>
      </c>
      <c r="I254" s="363">
        <v>76.5</v>
      </c>
      <c r="J254" s="363">
        <v>4</v>
      </c>
      <c r="K254" s="364" t="s">
        <v>113</v>
      </c>
      <c r="L254" s="361" t="s">
        <v>114</v>
      </c>
      <c r="M254" s="362">
        <f>ROUND(((E254*I254*J254* (G254+H254))/(1000000*3.6)),4)</f>
        <v>4.3E-3</v>
      </c>
      <c r="N254" s="365">
        <f>ROUND(((D254*I254*J254*(G254+H254))/1000000000),4)</f>
        <v>4.1999999999999997E-3</v>
      </c>
      <c r="O254" s="25"/>
      <c r="P254" s="25"/>
    </row>
    <row r="255" spans="1:18" ht="15" customHeight="1" x14ac:dyDescent="0.25">
      <c r="A255" s="1387"/>
      <c r="B255" s="366" t="s">
        <v>315</v>
      </c>
      <c r="C255" s="367"/>
      <c r="D255" s="53"/>
      <c r="E255" s="342"/>
      <c r="F255" s="53"/>
      <c r="G255" s="342"/>
      <c r="H255" s="53"/>
      <c r="I255" s="368"/>
      <c r="J255" s="368">
        <v>4</v>
      </c>
      <c r="K255" s="369" t="s">
        <v>111</v>
      </c>
      <c r="L255" s="358" t="s">
        <v>112</v>
      </c>
      <c r="M255" s="342">
        <f>ROUND(((E254*I254*J254* (G254+H254))/(1000000*3.6)),4)</f>
        <v>4.3E-3</v>
      </c>
      <c r="N255" s="370">
        <f>ROUND(((D254*I254*J255*(G254+H254))/1000000000),5)</f>
        <v>4.1599999999999996E-3</v>
      </c>
      <c r="O255" s="25"/>
      <c r="P255" s="25"/>
    </row>
    <row r="256" spans="1:18" ht="15" customHeight="1" x14ac:dyDescent="0.25">
      <c r="A256" s="1387"/>
      <c r="B256" s="366"/>
      <c r="C256" s="367"/>
      <c r="D256" s="53"/>
      <c r="E256" s="342"/>
      <c r="F256" s="53"/>
      <c r="G256" s="342"/>
      <c r="H256" s="53"/>
      <c r="I256" s="368"/>
      <c r="J256" s="368">
        <v>33</v>
      </c>
      <c r="K256" s="369" t="s">
        <v>115</v>
      </c>
      <c r="L256" s="53" t="s">
        <v>116</v>
      </c>
      <c r="M256" s="342">
        <f>ROUND(((E254*I254*J256* (G254+H254))/(1000000*3.6)),4)</f>
        <v>3.5099999999999999E-2</v>
      </c>
      <c r="N256" s="370">
        <f>ROUND(((D254*I254*J256*(G254+H254))/1000000000),4)</f>
        <v>3.44E-2</v>
      </c>
      <c r="O256" s="25"/>
      <c r="P256" s="25"/>
    </row>
    <row r="257" spans="1:16" ht="15" customHeight="1" x14ac:dyDescent="0.25">
      <c r="A257" s="1387"/>
      <c r="B257" s="366"/>
      <c r="C257" s="367"/>
      <c r="D257" s="53"/>
      <c r="E257" s="342"/>
      <c r="F257" s="53"/>
      <c r="G257" s="342"/>
      <c r="H257" s="53"/>
      <c r="I257" s="368"/>
      <c r="J257" s="368">
        <v>16</v>
      </c>
      <c r="K257" s="371" t="s">
        <v>120</v>
      </c>
      <c r="L257" s="53" t="s">
        <v>121</v>
      </c>
      <c r="M257" s="342">
        <f>ROUND(((E254*I254*J257* (G254+H254))/(1000000*3.6)),4)</f>
        <v>1.7000000000000001E-2</v>
      </c>
      <c r="N257" s="370">
        <f>ROUND(((D254*I254*J257*(G254+H254))/1000000000),4)</f>
        <v>1.67E-2</v>
      </c>
      <c r="O257" s="25"/>
      <c r="P257" s="25"/>
    </row>
    <row r="258" spans="1:16" ht="15" customHeight="1" x14ac:dyDescent="0.25">
      <c r="A258" s="1387"/>
      <c r="B258" s="372"/>
      <c r="C258" s="373"/>
      <c r="D258" s="374"/>
      <c r="E258" s="341"/>
      <c r="F258" s="374"/>
      <c r="G258" s="341"/>
      <c r="H258" s="374"/>
      <c r="I258" s="375"/>
      <c r="J258" s="375">
        <v>43</v>
      </c>
      <c r="K258" s="369" t="s">
        <v>117</v>
      </c>
      <c r="L258" s="358" t="s">
        <v>118</v>
      </c>
      <c r="M258" s="342">
        <f>ROUND(((E254*I254*J258* (G254+H254))/(1000000*3.6)),4)</f>
        <v>4.5699999999999998E-2</v>
      </c>
      <c r="N258" s="370">
        <f>ROUND(((D254*I254*J258*(G254+H254))/1000000000),4)</f>
        <v>4.48E-2</v>
      </c>
      <c r="O258" s="25"/>
      <c r="P258" s="25"/>
    </row>
    <row r="259" spans="1:16" ht="15" customHeight="1" x14ac:dyDescent="0.25">
      <c r="A259" s="1387"/>
      <c r="B259" s="378" t="s">
        <v>320</v>
      </c>
      <c r="C259" s="378" t="s">
        <v>101</v>
      </c>
      <c r="D259" s="379">
        <v>227.8</v>
      </c>
      <c r="E259" s="379" t="s">
        <v>122</v>
      </c>
      <c r="F259" s="379" t="s">
        <v>102</v>
      </c>
      <c r="G259" s="379">
        <v>28</v>
      </c>
      <c r="H259" s="379">
        <v>72</v>
      </c>
      <c r="I259" s="379">
        <v>50</v>
      </c>
      <c r="J259" s="380">
        <v>20</v>
      </c>
      <c r="K259" s="381" t="s">
        <v>115</v>
      </c>
      <c r="L259" s="379">
        <v>1210</v>
      </c>
      <c r="M259" s="382">
        <f>ROUND(((E259*I259*J259* (G259+H259))/(1000000*3.6)),4)</f>
        <v>1.3899999999999999E-2</v>
      </c>
      <c r="N259" s="379">
        <f>ROUND(((D259*I259*J259*(G259+H259))/1000000000),4)</f>
        <v>2.2800000000000001E-2</v>
      </c>
      <c r="O259" s="900"/>
      <c r="P259" s="900"/>
    </row>
    <row r="260" spans="1:16" ht="15" customHeight="1" x14ac:dyDescent="0.25">
      <c r="A260" s="1387"/>
      <c r="B260" s="390" t="s">
        <v>321</v>
      </c>
      <c r="C260" s="497"/>
      <c r="D260" s="395"/>
      <c r="E260" s="395"/>
      <c r="F260" s="395"/>
      <c r="G260" s="395"/>
      <c r="H260" s="395"/>
      <c r="I260" s="395"/>
      <c r="J260" s="498">
        <v>80</v>
      </c>
      <c r="K260" s="505" t="s">
        <v>103</v>
      </c>
      <c r="L260" s="397" t="s">
        <v>104</v>
      </c>
      <c r="M260" s="400">
        <f>ROUND(((E259*I259*J260* (G259+H259))/(1000000*3.6)),4)</f>
        <v>5.5599999999999997E-2</v>
      </c>
      <c r="N260" s="397">
        <f>ROUND(((D259*I259*J260*(G259+H259))/1000000000),4)</f>
        <v>9.11E-2</v>
      </c>
      <c r="O260" s="900"/>
      <c r="P260" s="900"/>
    </row>
    <row r="261" spans="1:16" ht="15" customHeight="1" x14ac:dyDescent="0.25">
      <c r="A261" s="1388"/>
      <c r="B261" s="384" t="s">
        <v>105</v>
      </c>
      <c r="C261" s="385" t="s">
        <v>101</v>
      </c>
      <c r="D261" s="387">
        <v>327</v>
      </c>
      <c r="E261" s="387" t="s">
        <v>122</v>
      </c>
      <c r="F261" s="387" t="s">
        <v>102</v>
      </c>
      <c r="G261" s="387">
        <v>28</v>
      </c>
      <c r="H261" s="387">
        <v>72</v>
      </c>
      <c r="I261" s="387">
        <v>46</v>
      </c>
      <c r="J261" s="386">
        <v>28.7</v>
      </c>
      <c r="K261" s="494" t="s">
        <v>103</v>
      </c>
      <c r="L261" s="342" t="s">
        <v>104</v>
      </c>
      <c r="M261" s="358">
        <f>ROUND(((E261*I261*J261* (G261+H261))/(1000000*3.6)),4)</f>
        <v>1.83E-2</v>
      </c>
      <c r="N261" s="387">
        <f>ROUND(((D261*I261*J261*(G261+H261))/1000000000),5)</f>
        <v>4.317E-2</v>
      </c>
      <c r="O261" s="900"/>
      <c r="P261" s="900"/>
    </row>
    <row r="262" spans="1:16" ht="15" customHeight="1" x14ac:dyDescent="0.25">
      <c r="A262" s="1388"/>
      <c r="B262" s="384"/>
      <c r="C262" s="384"/>
      <c r="D262" s="385"/>
      <c r="E262" s="385"/>
      <c r="F262" s="385"/>
      <c r="G262" s="385"/>
      <c r="H262" s="385"/>
      <c r="I262" s="385"/>
      <c r="J262" s="386">
        <v>35.65</v>
      </c>
      <c r="K262" s="389" t="s">
        <v>106</v>
      </c>
      <c r="L262" s="342" t="s">
        <v>107</v>
      </c>
      <c r="M262" s="358">
        <f>ROUND(((E261*I261*J262* (G261+H261))/(1000000*3.6)),4)</f>
        <v>2.2800000000000001E-2</v>
      </c>
      <c r="N262" s="387">
        <f>ROUND(((D261*I261*J262*(G261+H261))/1000000000),4)</f>
        <v>5.3600000000000002E-2</v>
      </c>
      <c r="O262" s="900"/>
      <c r="P262" s="900"/>
    </row>
    <row r="263" spans="1:16" ht="15" customHeight="1" x14ac:dyDescent="0.25">
      <c r="A263" s="1388"/>
      <c r="B263" s="383"/>
      <c r="C263" s="384"/>
      <c r="D263" s="385"/>
      <c r="E263" s="385"/>
      <c r="F263" s="385"/>
      <c r="G263" s="385"/>
      <c r="H263" s="385"/>
      <c r="I263" s="385"/>
      <c r="J263" s="386">
        <v>35.65</v>
      </c>
      <c r="K263" s="499" t="s">
        <v>108</v>
      </c>
      <c r="L263" s="397" t="s">
        <v>109</v>
      </c>
      <c r="M263" s="400">
        <f>ROUND(((E261*I261*J263* (G261+H261))/(1000000*3.6)),4)</f>
        <v>2.2800000000000001E-2</v>
      </c>
      <c r="N263" s="397">
        <f>ROUND(((D261*I261*J263*(G261+H261))/1000000000),4)</f>
        <v>5.3600000000000002E-2</v>
      </c>
      <c r="O263" s="900"/>
      <c r="P263" s="900"/>
    </row>
    <row r="264" spans="1:16" ht="15" customHeight="1" x14ac:dyDescent="0.25">
      <c r="A264" s="1388"/>
      <c r="B264" s="391" t="s">
        <v>206</v>
      </c>
      <c r="C264" s="378" t="s">
        <v>101</v>
      </c>
      <c r="D264" s="379">
        <v>30</v>
      </c>
      <c r="E264" s="382">
        <v>0.5</v>
      </c>
      <c r="F264" s="379" t="s">
        <v>102</v>
      </c>
      <c r="G264" s="379">
        <v>28</v>
      </c>
      <c r="H264" s="379">
        <v>72</v>
      </c>
      <c r="I264" s="382">
        <v>45</v>
      </c>
      <c r="J264" s="379">
        <v>50</v>
      </c>
      <c r="K264" s="364" t="s">
        <v>103</v>
      </c>
      <c r="L264" s="392" t="s">
        <v>104</v>
      </c>
      <c r="M264" s="382">
        <f>ROUND(((E264*I264*J264* (G264+H264))/(1000000*3.6)),4)</f>
        <v>3.1300000000000001E-2</v>
      </c>
      <c r="N264" s="379">
        <f>ROUND(((D264*I264*J264*(G264+H264))/1000000000),4)</f>
        <v>6.7999999999999996E-3</v>
      </c>
      <c r="O264" s="900"/>
      <c r="P264" s="900"/>
    </row>
    <row r="265" spans="1:16" ht="15" customHeight="1" x14ac:dyDescent="0.25">
      <c r="A265" s="1388"/>
      <c r="B265" s="393" t="s">
        <v>127</v>
      </c>
      <c r="C265" s="394"/>
      <c r="D265" s="395"/>
      <c r="E265" s="396"/>
      <c r="F265" s="395"/>
      <c r="G265" s="396"/>
      <c r="H265" s="395"/>
      <c r="I265" s="396"/>
      <c r="J265" s="397">
        <v>50</v>
      </c>
      <c r="K265" s="371" t="s">
        <v>106</v>
      </c>
      <c r="L265" s="517">
        <v>2752</v>
      </c>
      <c r="M265" s="358">
        <f>ROUND(((E264*I264*J265* (G264+H264))/(1000000*3.6)),4)</f>
        <v>3.1300000000000001E-2</v>
      </c>
      <c r="N265" s="387">
        <f>ROUND(((D264*I264*J265*(G264+H264))/1000000000),4)</f>
        <v>6.7999999999999996E-3</v>
      </c>
      <c r="O265" s="900"/>
      <c r="P265" s="900"/>
    </row>
    <row r="266" spans="1:16" ht="15" customHeight="1" x14ac:dyDescent="0.25">
      <c r="A266" s="1388"/>
      <c r="B266" s="377" t="s">
        <v>110</v>
      </c>
      <c r="C266" s="378" t="s">
        <v>101</v>
      </c>
      <c r="D266" s="379">
        <v>12</v>
      </c>
      <c r="E266" s="379" t="s">
        <v>122</v>
      </c>
      <c r="F266" s="379" t="s">
        <v>102</v>
      </c>
      <c r="G266" s="379">
        <v>28</v>
      </c>
      <c r="H266" s="379">
        <v>72</v>
      </c>
      <c r="I266" s="379">
        <v>45</v>
      </c>
      <c r="J266" s="380">
        <v>50</v>
      </c>
      <c r="K266" s="381" t="s">
        <v>103</v>
      </c>
      <c r="L266" s="379" t="s">
        <v>104</v>
      </c>
      <c r="M266" s="382">
        <f>ROUND(((E266*I266*J266* (G266+H266))/(1000000*3.6)),4)</f>
        <v>3.1300000000000001E-2</v>
      </c>
      <c r="N266" s="379">
        <f>ROUND(((D266*I266*J266*(G266+H266))/1000000000),4)</f>
        <v>2.7000000000000001E-3</v>
      </c>
      <c r="O266" s="900"/>
      <c r="P266" s="900"/>
    </row>
    <row r="267" spans="1:16" ht="15" customHeight="1" x14ac:dyDescent="0.25">
      <c r="A267" s="1388"/>
      <c r="B267" s="383"/>
      <c r="C267" s="384"/>
      <c r="D267" s="385"/>
      <c r="E267" s="385"/>
      <c r="F267" s="385"/>
      <c r="G267" s="385"/>
      <c r="H267" s="385"/>
      <c r="I267" s="385"/>
      <c r="J267" s="386">
        <v>50</v>
      </c>
      <c r="K267" s="499" t="s">
        <v>106</v>
      </c>
      <c r="L267" s="341" t="s">
        <v>107</v>
      </c>
      <c r="M267" s="400">
        <f>ROUND(((E266*I266*J267* (G266+H266))/(1000000*3.6)),4)</f>
        <v>3.1300000000000001E-2</v>
      </c>
      <c r="N267" s="397">
        <f>ROUND(((D266*I266*J267*(G266+H266))/1000000000),4)</f>
        <v>2.7000000000000001E-3</v>
      </c>
      <c r="O267" s="900"/>
      <c r="P267" s="900"/>
    </row>
    <row r="268" spans="1:16" ht="15" customHeight="1" x14ac:dyDescent="0.25">
      <c r="A268" s="1388"/>
      <c r="B268" s="501" t="s">
        <v>108</v>
      </c>
      <c r="C268" s="502" t="s">
        <v>101</v>
      </c>
      <c r="D268" s="362">
        <v>1.2</v>
      </c>
      <c r="E268" s="362" t="s">
        <v>240</v>
      </c>
      <c r="F268" s="315" t="s">
        <v>102</v>
      </c>
      <c r="G268" s="315">
        <v>28</v>
      </c>
      <c r="H268" s="315">
        <v>72</v>
      </c>
      <c r="I268" s="362">
        <v>100</v>
      </c>
      <c r="J268" s="362">
        <v>100</v>
      </c>
      <c r="K268" s="518" t="s">
        <v>108</v>
      </c>
      <c r="L268" s="379" t="s">
        <v>109</v>
      </c>
      <c r="M268" s="341">
        <f>ROUND(((E268*I268*J268* (G268+H268))/(1000000*3.6)),4)</f>
        <v>2.7799999999999998E-2</v>
      </c>
      <c r="N268" s="341">
        <f>ROUND(((D268*I268*J268*(G268+H268))/1000000000),4)</f>
        <v>1.1999999999999999E-3</v>
      </c>
      <c r="O268" s="25"/>
      <c r="P268" s="25"/>
    </row>
    <row r="269" spans="1:16" ht="15" customHeight="1" x14ac:dyDescent="0.25">
      <c r="A269" s="1392" t="s">
        <v>364</v>
      </c>
      <c r="B269" s="1392"/>
      <c r="C269" s="1392"/>
      <c r="D269" s="1392"/>
      <c r="E269" s="1392"/>
      <c r="F269" s="1392"/>
      <c r="G269" s="1392"/>
      <c r="H269" s="1392"/>
      <c r="I269" s="1392"/>
      <c r="J269" s="1392"/>
      <c r="K269" s="401" t="s">
        <v>106</v>
      </c>
      <c r="L269" s="402" t="s">
        <v>107</v>
      </c>
      <c r="M269" s="403">
        <f>MAX(M262,M265,M267)</f>
        <v>3.1300000000000001E-2</v>
      </c>
      <c r="N269" s="403">
        <f>N262+N265+N267</f>
        <v>6.3100000000000003E-2</v>
      </c>
      <c r="O269" s="900"/>
      <c r="P269" s="900"/>
    </row>
    <row r="270" spans="1:16" ht="15" customHeight="1" x14ac:dyDescent="0.25">
      <c r="A270" s="1392"/>
      <c r="B270" s="1392"/>
      <c r="C270" s="1392"/>
      <c r="D270" s="1392"/>
      <c r="E270" s="1392"/>
      <c r="F270" s="1392"/>
      <c r="G270" s="1392"/>
      <c r="H270" s="1392"/>
      <c r="I270" s="1392"/>
      <c r="J270" s="1392"/>
      <c r="K270" s="404" t="s">
        <v>103</v>
      </c>
      <c r="L270" s="405" t="s">
        <v>104</v>
      </c>
      <c r="M270" s="405">
        <f>MAX(M260,M261,M264,M266)</f>
        <v>5.5599999999999997E-2</v>
      </c>
      <c r="N270" s="405">
        <f>N260+N261+N264+N266</f>
        <v>0.14377000000000001</v>
      </c>
      <c r="O270" s="25"/>
      <c r="P270" s="25"/>
    </row>
    <row r="271" spans="1:16" ht="15" customHeight="1" x14ac:dyDescent="0.25">
      <c r="A271" s="1392"/>
      <c r="B271" s="1392"/>
      <c r="C271" s="1392"/>
      <c r="D271" s="1392"/>
      <c r="E271" s="1392"/>
      <c r="F271" s="1392"/>
      <c r="G271" s="1392"/>
      <c r="H271" s="1392"/>
      <c r="I271" s="1392"/>
      <c r="J271" s="1392"/>
      <c r="K271" s="406" t="s">
        <v>108</v>
      </c>
      <c r="L271" s="407" t="s">
        <v>109</v>
      </c>
      <c r="M271" s="405">
        <f>MAX(M263,M268)</f>
        <v>2.7799999999999998E-2</v>
      </c>
      <c r="N271" s="405">
        <f>N263+N268</f>
        <v>5.4800000000000001E-2</v>
      </c>
      <c r="O271" s="25"/>
      <c r="P271" s="25"/>
    </row>
    <row r="272" spans="1:16" ht="15" customHeight="1" x14ac:dyDescent="0.25">
      <c r="A272" s="1392"/>
      <c r="B272" s="1392"/>
      <c r="C272" s="1392"/>
      <c r="D272" s="1392"/>
      <c r="E272" s="1392"/>
      <c r="F272" s="1392"/>
      <c r="G272" s="1392"/>
      <c r="H272" s="1392"/>
      <c r="I272" s="1392"/>
      <c r="J272" s="1392"/>
      <c r="K272" s="406" t="s">
        <v>111</v>
      </c>
      <c r="L272" s="407" t="s">
        <v>112</v>
      </c>
      <c r="M272" s="405">
        <f>M255</f>
        <v>4.3E-3</v>
      </c>
      <c r="N272" s="405">
        <f>N255</f>
        <v>4.1599999999999996E-3</v>
      </c>
      <c r="O272" s="25"/>
      <c r="P272" s="25"/>
    </row>
    <row r="273" spans="1:18" ht="15" customHeight="1" x14ac:dyDescent="0.25">
      <c r="A273" s="1392"/>
      <c r="B273" s="1392"/>
      <c r="C273" s="1392"/>
      <c r="D273" s="1392"/>
      <c r="E273" s="1392"/>
      <c r="F273" s="1392"/>
      <c r="G273" s="1392"/>
      <c r="H273" s="1392"/>
      <c r="I273" s="1392"/>
      <c r="J273" s="1392"/>
      <c r="K273" s="404" t="s">
        <v>113</v>
      </c>
      <c r="L273" s="405" t="s">
        <v>114</v>
      </c>
      <c r="M273" s="405">
        <f>M254</f>
        <v>4.3E-3</v>
      </c>
      <c r="N273" s="405">
        <f>N254</f>
        <v>4.1999999999999997E-3</v>
      </c>
      <c r="O273" s="25"/>
      <c r="P273" s="25"/>
    </row>
    <row r="274" spans="1:18" ht="15" customHeight="1" x14ac:dyDescent="0.25">
      <c r="A274" s="1392"/>
      <c r="B274" s="1392"/>
      <c r="C274" s="1392"/>
      <c r="D274" s="1392"/>
      <c r="E274" s="1392"/>
      <c r="F274" s="1392"/>
      <c r="G274" s="1392"/>
      <c r="H274" s="1392"/>
      <c r="I274" s="1392"/>
      <c r="J274" s="1392"/>
      <c r="K274" s="406" t="s">
        <v>115</v>
      </c>
      <c r="L274" s="405" t="s">
        <v>116</v>
      </c>
      <c r="M274" s="405">
        <f>MAX(M256,M259)</f>
        <v>3.5099999999999999E-2</v>
      </c>
      <c r="N274" s="405">
        <f>N256+N259</f>
        <v>5.7200000000000001E-2</v>
      </c>
      <c r="O274" s="25"/>
      <c r="P274" s="25"/>
    </row>
    <row r="275" spans="1:18" ht="15" customHeight="1" x14ac:dyDescent="0.25">
      <c r="A275" s="1392"/>
      <c r="B275" s="1392"/>
      <c r="C275" s="1392"/>
      <c r="D275" s="1392"/>
      <c r="E275" s="1392"/>
      <c r="F275" s="1392"/>
      <c r="G275" s="1392"/>
      <c r="H275" s="1392"/>
      <c r="I275" s="1392"/>
      <c r="J275" s="1392"/>
      <c r="K275" s="404" t="s">
        <v>120</v>
      </c>
      <c r="L275" s="408" t="s">
        <v>121</v>
      </c>
      <c r="M275" s="405">
        <f>M257</f>
        <v>1.7000000000000001E-2</v>
      </c>
      <c r="N275" s="405">
        <f>N257</f>
        <v>1.67E-2</v>
      </c>
      <c r="O275" s="25"/>
      <c r="P275" s="25"/>
    </row>
    <row r="276" spans="1:18" ht="15" customHeight="1" x14ac:dyDescent="0.25">
      <c r="A276" s="1392"/>
      <c r="B276" s="1392"/>
      <c r="C276" s="1392"/>
      <c r="D276" s="1392"/>
      <c r="E276" s="1392"/>
      <c r="F276" s="1392"/>
      <c r="G276" s="1392"/>
      <c r="H276" s="1392"/>
      <c r="I276" s="1392"/>
      <c r="J276" s="1392"/>
      <c r="K276" s="409" t="s">
        <v>117</v>
      </c>
      <c r="L276" s="410" t="s">
        <v>118</v>
      </c>
      <c r="M276" s="411">
        <f>M258</f>
        <v>4.5699999999999998E-2</v>
      </c>
      <c r="N276" s="411">
        <f>N258</f>
        <v>4.48E-2</v>
      </c>
      <c r="O276" s="25">
        <f>SUM(M269:M276)</f>
        <v>0.22109999999999999</v>
      </c>
      <c r="P276" s="25">
        <f>SUM(N269:N276)</f>
        <v>0.38873000000000002</v>
      </c>
    </row>
    <row r="277" spans="1:18" ht="15" customHeight="1" x14ac:dyDescent="0.25">
      <c r="A277" s="1353" t="s">
        <v>204</v>
      </c>
      <c r="B277" s="1354"/>
      <c r="C277" s="1354"/>
      <c r="D277" s="1354"/>
      <c r="E277" s="1354"/>
      <c r="F277" s="1354"/>
      <c r="G277" s="1354"/>
      <c r="H277" s="1354"/>
      <c r="I277" s="1354"/>
      <c r="J277" s="1354"/>
      <c r="K277" s="1354"/>
      <c r="L277" s="1354"/>
      <c r="M277" s="1354"/>
      <c r="N277" s="1355"/>
      <c r="O277" s="908"/>
      <c r="P277" s="908"/>
      <c r="Q277" s="49"/>
      <c r="R277" s="51"/>
    </row>
    <row r="278" spans="1:18" ht="15" customHeight="1" x14ac:dyDescent="0.25">
      <c r="A278" s="1356">
        <v>7011</v>
      </c>
      <c r="B278" s="464" t="s">
        <v>100</v>
      </c>
      <c r="C278" s="464" t="s">
        <v>101</v>
      </c>
      <c r="D278" s="226">
        <v>10</v>
      </c>
      <c r="E278" s="226" t="s">
        <v>122</v>
      </c>
      <c r="F278" s="226" t="s">
        <v>102</v>
      </c>
      <c r="G278" s="226">
        <v>28</v>
      </c>
      <c r="H278" s="226">
        <v>72</v>
      </c>
      <c r="I278" s="226">
        <v>45</v>
      </c>
      <c r="J278" s="465">
        <v>100</v>
      </c>
      <c r="K278" s="466" t="s">
        <v>103</v>
      </c>
      <c r="L278" s="183" t="s">
        <v>104</v>
      </c>
      <c r="M278" s="467">
        <f>ROUND(((E278*I278*J278* (G278+H278))/(1000000*3.6)),4)</f>
        <v>6.25E-2</v>
      </c>
      <c r="N278" s="226">
        <f>ROUND(((D278*I278*J278*(G278+H278))/1000000000),5)</f>
        <v>4.4999999999999997E-3</v>
      </c>
      <c r="O278" s="900"/>
      <c r="P278" s="900"/>
      <c r="R278" s="9"/>
    </row>
    <row r="279" spans="1:18" ht="15" customHeight="1" x14ac:dyDescent="0.25">
      <c r="A279" s="1357"/>
      <c r="B279" s="418" t="s">
        <v>105</v>
      </c>
      <c r="C279" s="417" t="s">
        <v>101</v>
      </c>
      <c r="D279" s="422">
        <v>20</v>
      </c>
      <c r="E279" s="422" t="s">
        <v>122</v>
      </c>
      <c r="F279" s="422" t="s">
        <v>102</v>
      </c>
      <c r="G279" s="422">
        <v>28</v>
      </c>
      <c r="H279" s="422">
        <v>72</v>
      </c>
      <c r="I279" s="422">
        <v>46</v>
      </c>
      <c r="J279" s="419">
        <v>28.7</v>
      </c>
      <c r="K279" s="479" t="s">
        <v>103</v>
      </c>
      <c r="L279" s="339" t="s">
        <v>104</v>
      </c>
      <c r="M279" s="421">
        <f>ROUND(((E279*I279*J279* (G279+H279))/(1000000*3.6)),4)</f>
        <v>1.83E-2</v>
      </c>
      <c r="N279" s="422">
        <f>ROUND(((D279*I279*J279*(G279+H279))/1000000000),5)</f>
        <v>2.64E-3</v>
      </c>
      <c r="O279" s="900"/>
      <c r="P279" s="900"/>
      <c r="Q279" s="50"/>
      <c r="R279" s="9"/>
    </row>
    <row r="280" spans="1:18" ht="15" customHeight="1" x14ac:dyDescent="0.25">
      <c r="A280" s="1357"/>
      <c r="B280" s="418"/>
      <c r="C280" s="418"/>
      <c r="D280" s="417"/>
      <c r="E280" s="417"/>
      <c r="F280" s="417"/>
      <c r="G280" s="417"/>
      <c r="H280" s="417"/>
      <c r="I280" s="417"/>
      <c r="J280" s="419">
        <v>35.65</v>
      </c>
      <c r="K280" s="420" t="s">
        <v>106</v>
      </c>
      <c r="L280" s="339" t="s">
        <v>107</v>
      </c>
      <c r="M280" s="421">
        <f>ROUND(((E279*I279*J280* (G279+H279))/(1000000*3.6)),4)</f>
        <v>2.2800000000000001E-2</v>
      </c>
      <c r="N280" s="422">
        <f>ROUND(((D279*I279*J280*(G279+H279))/1000000000),4)</f>
        <v>3.3E-3</v>
      </c>
      <c r="O280" s="900"/>
      <c r="P280" s="900"/>
      <c r="Q280" s="50"/>
      <c r="R280" s="9"/>
    </row>
    <row r="281" spans="1:18" ht="15" customHeight="1" x14ac:dyDescent="0.25">
      <c r="A281" s="1357"/>
      <c r="B281" s="488"/>
      <c r="C281" s="418"/>
      <c r="D281" s="417"/>
      <c r="E281" s="417"/>
      <c r="F281" s="417"/>
      <c r="G281" s="417"/>
      <c r="H281" s="417"/>
      <c r="I281" s="417"/>
      <c r="J281" s="419">
        <v>35.65</v>
      </c>
      <c r="K281" s="428" t="s">
        <v>108</v>
      </c>
      <c r="L281" s="429" t="s">
        <v>109</v>
      </c>
      <c r="M281" s="430">
        <f>ROUND(((E279*I279*J281* (G279+H279))/(1000000*3.6)),4)</f>
        <v>2.2800000000000001E-2</v>
      </c>
      <c r="N281" s="429">
        <f>ROUND(((D279*I279*J281*(G279+H279))/1000000000),4)</f>
        <v>3.3E-3</v>
      </c>
      <c r="O281" s="900"/>
      <c r="P281" s="900"/>
      <c r="Q281" s="50"/>
      <c r="R281" s="9"/>
    </row>
    <row r="282" spans="1:18" ht="15" customHeight="1" x14ac:dyDescent="0.25">
      <c r="A282" s="1357"/>
      <c r="B282" s="483" t="s">
        <v>206</v>
      </c>
      <c r="C282" s="413" t="s">
        <v>101</v>
      </c>
      <c r="D282" s="13">
        <v>4</v>
      </c>
      <c r="E282" s="415">
        <v>0.5</v>
      </c>
      <c r="F282" s="13" t="s">
        <v>102</v>
      </c>
      <c r="G282" s="13">
        <v>28</v>
      </c>
      <c r="H282" s="13">
        <v>72</v>
      </c>
      <c r="I282" s="415">
        <v>45</v>
      </c>
      <c r="J282" s="13">
        <v>50</v>
      </c>
      <c r="K282" s="470" t="s">
        <v>103</v>
      </c>
      <c r="L282" s="344" t="s">
        <v>104</v>
      </c>
      <c r="M282" s="415">
        <f>ROUND(((E282*I282*J282* (G282+H282))/(1000000*3.6)),4)</f>
        <v>3.1300000000000001E-2</v>
      </c>
      <c r="N282" s="13">
        <f>ROUND(((D282*I282*J282*(G282+H282))/1000000000),4)</f>
        <v>8.9999999999999998E-4</v>
      </c>
      <c r="O282" s="900"/>
      <c r="P282" s="900"/>
      <c r="Q282" s="49"/>
      <c r="R282" s="9"/>
    </row>
    <row r="283" spans="1:18" ht="15" customHeight="1" x14ac:dyDescent="0.25">
      <c r="A283" s="1357"/>
      <c r="B283" s="519" t="s">
        <v>127</v>
      </c>
      <c r="C283" s="485"/>
      <c r="D283" s="426"/>
      <c r="E283" s="26"/>
      <c r="F283" s="426"/>
      <c r="G283" s="26"/>
      <c r="H283" s="426"/>
      <c r="I283" s="26"/>
      <c r="J283" s="429">
        <v>50</v>
      </c>
      <c r="K283" s="471" t="s">
        <v>106</v>
      </c>
      <c r="L283" s="337">
        <v>2752</v>
      </c>
      <c r="M283" s="421">
        <f>ROUND(((E282*I282*J283* (G282+H282))/(1000000*3.6)),4)</f>
        <v>3.1300000000000001E-2</v>
      </c>
      <c r="N283" s="422">
        <f>ROUND(((D282*I282*J283*(G282+H282))/1000000000),4)</f>
        <v>8.9999999999999998E-4</v>
      </c>
      <c r="O283" s="900"/>
      <c r="P283" s="900"/>
      <c r="Q283" s="49"/>
      <c r="R283" s="9"/>
    </row>
    <row r="284" spans="1:18" ht="15" customHeight="1" x14ac:dyDescent="0.25">
      <c r="A284" s="1357"/>
      <c r="B284" s="413" t="s">
        <v>110</v>
      </c>
      <c r="C284" s="413" t="s">
        <v>101</v>
      </c>
      <c r="D284" s="13">
        <v>15</v>
      </c>
      <c r="E284" s="13" t="s">
        <v>122</v>
      </c>
      <c r="F284" s="13" t="s">
        <v>102</v>
      </c>
      <c r="G284" s="13">
        <v>28</v>
      </c>
      <c r="H284" s="13">
        <v>72</v>
      </c>
      <c r="I284" s="13">
        <v>45</v>
      </c>
      <c r="J284" s="227">
        <v>50</v>
      </c>
      <c r="K284" s="434" t="s">
        <v>103</v>
      </c>
      <c r="L284" s="13" t="s">
        <v>104</v>
      </c>
      <c r="M284" s="415">
        <f>ROUND(((E284*I284*J284* (G284+H284))/(1000000*3.6)),4)</f>
        <v>3.1300000000000001E-2</v>
      </c>
      <c r="N284" s="13">
        <f>ROUND(((D284*I284*J284*(G284+H284))/1000000000),4)</f>
        <v>3.3999999999999998E-3</v>
      </c>
      <c r="O284" s="900"/>
      <c r="P284" s="900"/>
      <c r="Q284" s="49"/>
      <c r="R284" s="9"/>
    </row>
    <row r="285" spans="1:18" ht="15" customHeight="1" x14ac:dyDescent="0.25">
      <c r="A285" s="1357"/>
      <c r="B285" s="424"/>
      <c r="C285" s="425"/>
      <c r="D285" s="426"/>
      <c r="E285" s="426"/>
      <c r="F285" s="426"/>
      <c r="G285" s="426"/>
      <c r="H285" s="426"/>
      <c r="I285" s="426"/>
      <c r="J285" s="427">
        <v>50</v>
      </c>
      <c r="K285" s="428" t="s">
        <v>106</v>
      </c>
      <c r="L285" s="340" t="s">
        <v>107</v>
      </c>
      <c r="M285" s="430">
        <f>ROUND(((E284*I284*J285* (G284+H284))/(1000000*3.6)),4)</f>
        <v>3.1300000000000001E-2</v>
      </c>
      <c r="N285" s="429">
        <f>ROUND(((D284*I284*J285*(G284+H284))/1000000000),4)</f>
        <v>3.3999999999999998E-3</v>
      </c>
      <c r="O285" s="900"/>
      <c r="P285" s="900"/>
      <c r="Q285" s="49"/>
      <c r="R285" s="51"/>
    </row>
    <row r="286" spans="1:18" ht="15" customHeight="1" x14ac:dyDescent="0.25">
      <c r="A286" s="1352" t="s">
        <v>385</v>
      </c>
      <c r="B286" s="1352"/>
      <c r="C286" s="1352"/>
      <c r="D286" s="1352"/>
      <c r="E286" s="1352"/>
      <c r="F286" s="1352"/>
      <c r="G286" s="1352"/>
      <c r="H286" s="1352"/>
      <c r="I286" s="1352"/>
      <c r="J286" s="1352"/>
      <c r="K286" s="447" t="s">
        <v>106</v>
      </c>
      <c r="L286" s="448" t="s">
        <v>107</v>
      </c>
      <c r="M286" s="449">
        <f>MAX(M280,M283,M285)</f>
        <v>3.1300000000000001E-2</v>
      </c>
      <c r="N286" s="449">
        <f>N280+N283+N285</f>
        <v>7.5999999999999991E-3</v>
      </c>
      <c r="O286" s="900"/>
      <c r="P286" s="900"/>
      <c r="Q286" s="49"/>
      <c r="R286" s="51"/>
    </row>
    <row r="287" spans="1:18" ht="15" customHeight="1" x14ac:dyDescent="0.25">
      <c r="A287" s="1352"/>
      <c r="B287" s="1352"/>
      <c r="C287" s="1352"/>
      <c r="D287" s="1352"/>
      <c r="E287" s="1352"/>
      <c r="F287" s="1352"/>
      <c r="G287" s="1352"/>
      <c r="H287" s="1352"/>
      <c r="I287" s="1352"/>
      <c r="J287" s="1352"/>
      <c r="K287" s="469" t="s">
        <v>103</v>
      </c>
      <c r="L287" s="452" t="s">
        <v>104</v>
      </c>
      <c r="M287" s="452">
        <f>MAX(M278,M279,M282,M284)</f>
        <v>6.25E-2</v>
      </c>
      <c r="N287" s="452">
        <f>N278+N279+N282+N284</f>
        <v>1.1440000000000001E-2</v>
      </c>
      <c r="O287" s="25"/>
      <c r="P287" s="25"/>
      <c r="Q287" s="49"/>
      <c r="R287" s="51"/>
    </row>
    <row r="288" spans="1:18" ht="15" customHeight="1" x14ac:dyDescent="0.25">
      <c r="A288" s="1352"/>
      <c r="B288" s="1352"/>
      <c r="C288" s="1352"/>
      <c r="D288" s="1352"/>
      <c r="E288" s="1352"/>
      <c r="F288" s="1352"/>
      <c r="G288" s="1352"/>
      <c r="H288" s="1352"/>
      <c r="I288" s="1352"/>
      <c r="J288" s="1352"/>
      <c r="K288" s="454" t="s">
        <v>108</v>
      </c>
      <c r="L288" s="455" t="s">
        <v>109</v>
      </c>
      <c r="M288" s="456">
        <f>M281</f>
        <v>2.2800000000000001E-2</v>
      </c>
      <c r="N288" s="456">
        <f>N281</f>
        <v>3.3E-3</v>
      </c>
      <c r="O288" s="25">
        <f>SUM(M286:M288)</f>
        <v>0.1166</v>
      </c>
      <c r="P288" s="25">
        <f>SUM(N286:N288)</f>
        <v>2.2340000000000002E-2</v>
      </c>
      <c r="Q288" s="49"/>
      <c r="R288" s="51"/>
    </row>
    <row r="289" spans="1:17" ht="15" customHeight="1" x14ac:dyDescent="0.25">
      <c r="A289" s="1353" t="s">
        <v>210</v>
      </c>
      <c r="B289" s="1354"/>
      <c r="C289" s="1354"/>
      <c r="D289" s="1354"/>
      <c r="E289" s="1354"/>
      <c r="F289" s="1354"/>
      <c r="G289" s="1354"/>
      <c r="H289" s="1354"/>
      <c r="I289" s="1354"/>
      <c r="J289" s="1354"/>
      <c r="K289" s="1354"/>
      <c r="L289" s="1354"/>
      <c r="M289" s="1354"/>
      <c r="N289" s="1355"/>
      <c r="O289" s="908"/>
      <c r="P289" s="908"/>
    </row>
    <row r="290" spans="1:17" ht="30" customHeight="1" x14ac:dyDescent="0.25">
      <c r="A290" s="1365">
        <v>7016</v>
      </c>
      <c r="B290" s="432" t="s">
        <v>211</v>
      </c>
      <c r="C290" s="458" t="s">
        <v>101</v>
      </c>
      <c r="D290" s="12">
        <v>264</v>
      </c>
      <c r="E290" s="12" t="s">
        <v>372</v>
      </c>
      <c r="F290" s="183" t="s">
        <v>102</v>
      </c>
      <c r="G290" s="183">
        <v>28</v>
      </c>
      <c r="H290" s="183">
        <v>72</v>
      </c>
      <c r="I290" s="12">
        <v>45</v>
      </c>
      <c r="J290" s="12">
        <v>100</v>
      </c>
      <c r="K290" s="459" t="s">
        <v>205</v>
      </c>
      <c r="L290" s="183" t="s">
        <v>59</v>
      </c>
      <c r="M290" s="183">
        <f>ROUND(((E290*I290*J290* (G290+H290))/(1000000*3.6)),4)</f>
        <v>0.15</v>
      </c>
      <c r="N290" s="183">
        <f>ROUND(((D290*I290*J290*(G290+H290))/1000000000),4)</f>
        <v>0.1188</v>
      </c>
      <c r="O290" s="25"/>
      <c r="P290" s="25"/>
    </row>
    <row r="291" spans="1:17" ht="30" customHeight="1" x14ac:dyDescent="0.25">
      <c r="A291" s="1404"/>
      <c r="B291" s="458" t="s">
        <v>212</v>
      </c>
      <c r="C291" s="458" t="s">
        <v>101</v>
      </c>
      <c r="D291" s="12">
        <v>528</v>
      </c>
      <c r="E291" s="12" t="s">
        <v>219</v>
      </c>
      <c r="F291" s="183" t="s">
        <v>102</v>
      </c>
      <c r="G291" s="183">
        <v>28</v>
      </c>
      <c r="H291" s="183">
        <v>72</v>
      </c>
      <c r="I291" s="12">
        <v>45</v>
      </c>
      <c r="J291" s="12">
        <v>100</v>
      </c>
      <c r="K291" s="459" t="s">
        <v>205</v>
      </c>
      <c r="L291" s="183" t="s">
        <v>59</v>
      </c>
      <c r="M291" s="183">
        <f>ROUND(((E291*I291*J291* (G291+H291))/(1000000*3.6)),4)</f>
        <v>0.1875</v>
      </c>
      <c r="N291" s="183">
        <f>ROUND(((D291*I291*J291*(G291+H291))/1000000000),4)</f>
        <v>0.23760000000000001</v>
      </c>
      <c r="O291" s="25"/>
      <c r="P291" s="25"/>
    </row>
    <row r="292" spans="1:17" ht="15" customHeight="1" x14ac:dyDescent="0.25">
      <c r="A292" s="1404"/>
      <c r="B292" s="464" t="s">
        <v>100</v>
      </c>
      <c r="C292" s="464" t="s">
        <v>101</v>
      </c>
      <c r="D292" s="226">
        <v>65</v>
      </c>
      <c r="E292" s="226" t="s">
        <v>90</v>
      </c>
      <c r="F292" s="226" t="s">
        <v>102</v>
      </c>
      <c r="G292" s="226">
        <v>28</v>
      </c>
      <c r="H292" s="226">
        <v>72</v>
      </c>
      <c r="I292" s="226">
        <v>45</v>
      </c>
      <c r="J292" s="465">
        <v>100</v>
      </c>
      <c r="K292" s="466" t="s">
        <v>103</v>
      </c>
      <c r="L292" s="183" t="s">
        <v>104</v>
      </c>
      <c r="M292" s="467">
        <f>ROUND(((E292*I292*J292* (G292+H292))/(1000000*3.6)),4)</f>
        <v>0.125</v>
      </c>
      <c r="N292" s="226">
        <f>ROUND(((D292*I292*J292*(G292+H292))/1000000000),5)</f>
        <v>2.9250000000000002E-2</v>
      </c>
      <c r="O292" s="900"/>
      <c r="P292" s="900"/>
    </row>
    <row r="293" spans="1:17" ht="15" customHeight="1" x14ac:dyDescent="0.25">
      <c r="A293" s="1404"/>
      <c r="B293" s="413" t="s">
        <v>110</v>
      </c>
      <c r="C293" s="413" t="s">
        <v>101</v>
      </c>
      <c r="D293" s="13">
        <v>240</v>
      </c>
      <c r="E293" s="13" t="s">
        <v>372</v>
      </c>
      <c r="F293" s="13" t="s">
        <v>102</v>
      </c>
      <c r="G293" s="13">
        <v>28</v>
      </c>
      <c r="H293" s="13">
        <v>72</v>
      </c>
      <c r="I293" s="13">
        <v>45</v>
      </c>
      <c r="J293" s="227">
        <v>50</v>
      </c>
      <c r="K293" s="434" t="s">
        <v>103</v>
      </c>
      <c r="L293" s="13" t="s">
        <v>104</v>
      </c>
      <c r="M293" s="415">
        <f>ROUND(((E293*I293*J293* (G293+H293))/(1000000*3.6)),4)</f>
        <v>7.4999999999999997E-2</v>
      </c>
      <c r="N293" s="13">
        <f>ROUND(((D293*I293*J293*(G293+H293))/1000000000),4)</f>
        <v>5.3999999999999999E-2</v>
      </c>
      <c r="O293" s="900"/>
      <c r="P293" s="900"/>
    </row>
    <row r="294" spans="1:17" ht="15" customHeight="1" x14ac:dyDescent="0.25">
      <c r="A294" s="1404"/>
      <c r="B294" s="424"/>
      <c r="C294" s="425"/>
      <c r="D294" s="426"/>
      <c r="E294" s="426"/>
      <c r="F294" s="426"/>
      <c r="G294" s="426"/>
      <c r="H294" s="426"/>
      <c r="I294" s="426"/>
      <c r="J294" s="427">
        <v>50</v>
      </c>
      <c r="K294" s="428" t="s">
        <v>106</v>
      </c>
      <c r="L294" s="340" t="s">
        <v>107</v>
      </c>
      <c r="M294" s="430">
        <f>ROUND(((E293*I293*J294* (G293+H293))/(1000000*3.6)),4)</f>
        <v>7.4999999999999997E-2</v>
      </c>
      <c r="N294" s="429">
        <f>ROUND(((D293*I293*J294*(G293+H293))/1000000000),4)</f>
        <v>5.3999999999999999E-2</v>
      </c>
      <c r="O294" s="900"/>
      <c r="P294" s="900"/>
    </row>
    <row r="295" spans="1:17" ht="15" customHeight="1" x14ac:dyDescent="0.25">
      <c r="A295" s="1405"/>
      <c r="B295" s="458" t="s">
        <v>108</v>
      </c>
      <c r="C295" s="458" t="s">
        <v>101</v>
      </c>
      <c r="D295" s="12">
        <v>79.2</v>
      </c>
      <c r="E295" s="12" t="s">
        <v>90</v>
      </c>
      <c r="F295" s="183" t="s">
        <v>102</v>
      </c>
      <c r="G295" s="183">
        <v>28</v>
      </c>
      <c r="H295" s="183">
        <v>72</v>
      </c>
      <c r="I295" s="12">
        <v>100</v>
      </c>
      <c r="J295" s="12">
        <v>100</v>
      </c>
      <c r="K295" s="463" t="s">
        <v>108</v>
      </c>
      <c r="L295" s="13" t="s">
        <v>109</v>
      </c>
      <c r="M295" s="340">
        <f>ROUND(((E295*I295*J295* (G295+H295))/(1000000*3.6)),4)</f>
        <v>0.27779999999999999</v>
      </c>
      <c r="N295" s="340">
        <f>ROUND(((D295*I295*J295*(G295+H295))/1000000000),4)</f>
        <v>7.9200000000000007E-2</v>
      </c>
      <c r="O295" s="25"/>
      <c r="P295" s="25"/>
    </row>
    <row r="296" spans="1:17" ht="15" customHeight="1" x14ac:dyDescent="0.25">
      <c r="A296" s="1352" t="s">
        <v>391</v>
      </c>
      <c r="B296" s="1352"/>
      <c r="C296" s="1352"/>
      <c r="D296" s="1352"/>
      <c r="E296" s="1352"/>
      <c r="F296" s="1352"/>
      <c r="G296" s="1352"/>
      <c r="H296" s="1352"/>
      <c r="I296" s="1352"/>
      <c r="J296" s="1352"/>
      <c r="K296" s="447" t="s">
        <v>106</v>
      </c>
      <c r="L296" s="448" t="s">
        <v>107</v>
      </c>
      <c r="M296" s="449">
        <f>M294</f>
        <v>7.4999999999999997E-2</v>
      </c>
      <c r="N296" s="449">
        <f>N294</f>
        <v>5.3999999999999999E-2</v>
      </c>
      <c r="O296" s="900"/>
      <c r="P296" s="900"/>
    </row>
    <row r="297" spans="1:17" ht="15" customHeight="1" x14ac:dyDescent="0.25">
      <c r="A297" s="1352"/>
      <c r="B297" s="1352"/>
      <c r="C297" s="1352"/>
      <c r="D297" s="1352"/>
      <c r="E297" s="1352"/>
      <c r="F297" s="1352"/>
      <c r="G297" s="1352"/>
      <c r="H297" s="1352"/>
      <c r="I297" s="1352"/>
      <c r="J297" s="1352"/>
      <c r="K297" s="469" t="s">
        <v>103</v>
      </c>
      <c r="L297" s="452" t="s">
        <v>104</v>
      </c>
      <c r="M297" s="452">
        <f>MAX(M292,M293)</f>
        <v>0.125</v>
      </c>
      <c r="N297" s="452">
        <f>N292+N293</f>
        <v>8.3250000000000005E-2</v>
      </c>
      <c r="O297" s="25"/>
      <c r="P297" s="25"/>
      <c r="Q297" s="50"/>
    </row>
    <row r="298" spans="1:17" ht="15" customHeight="1" x14ac:dyDescent="0.25">
      <c r="A298" s="1352"/>
      <c r="B298" s="1352"/>
      <c r="C298" s="1352"/>
      <c r="D298" s="1352"/>
      <c r="E298" s="1352"/>
      <c r="F298" s="1352"/>
      <c r="G298" s="1352"/>
      <c r="H298" s="1352"/>
      <c r="I298" s="1352"/>
      <c r="J298" s="1352"/>
      <c r="K298" s="450" t="s">
        <v>108</v>
      </c>
      <c r="L298" s="451" t="s">
        <v>109</v>
      </c>
      <c r="M298" s="452">
        <f>M295</f>
        <v>0.27779999999999999</v>
      </c>
      <c r="N298" s="452">
        <f>N295</f>
        <v>7.9200000000000007E-2</v>
      </c>
      <c r="O298" s="25"/>
      <c r="P298" s="25"/>
    </row>
    <row r="299" spans="1:17" ht="30" customHeight="1" x14ac:dyDescent="0.25">
      <c r="A299" s="1352"/>
      <c r="B299" s="1352"/>
      <c r="C299" s="1352"/>
      <c r="D299" s="1352"/>
      <c r="E299" s="1352"/>
      <c r="F299" s="1352"/>
      <c r="G299" s="1352"/>
      <c r="H299" s="1352"/>
      <c r="I299" s="1352"/>
      <c r="J299" s="1352"/>
      <c r="K299" s="475" t="s">
        <v>205</v>
      </c>
      <c r="L299" s="456" t="s">
        <v>59</v>
      </c>
      <c r="M299" s="456">
        <f>MAX(M290,M291)</f>
        <v>0.1875</v>
      </c>
      <c r="N299" s="456">
        <f>N290+N291</f>
        <v>0.35639999999999999</v>
      </c>
      <c r="O299" s="25">
        <f>SUM(M296:M299)</f>
        <v>0.6653</v>
      </c>
      <c r="P299" s="25">
        <f>SUM(N296:N299)</f>
        <v>0.57285000000000008</v>
      </c>
      <c r="Q299" s="50"/>
    </row>
    <row r="300" spans="1:17" ht="15" customHeight="1" x14ac:dyDescent="0.25">
      <c r="A300" s="1353" t="s">
        <v>213</v>
      </c>
      <c r="B300" s="1358"/>
      <c r="C300" s="1358"/>
      <c r="D300" s="1358"/>
      <c r="E300" s="1358"/>
      <c r="F300" s="1358"/>
      <c r="G300" s="1358"/>
      <c r="H300" s="1358"/>
      <c r="I300" s="1358"/>
      <c r="J300" s="1358"/>
      <c r="K300" s="1358"/>
      <c r="L300" s="1358"/>
      <c r="M300" s="1358"/>
      <c r="N300" s="1359"/>
      <c r="O300" s="908"/>
      <c r="P300" s="908"/>
    </row>
    <row r="301" spans="1:17" ht="15" customHeight="1" x14ac:dyDescent="0.25">
      <c r="A301" s="1360">
        <v>7022</v>
      </c>
      <c r="B301" s="413" t="s">
        <v>105</v>
      </c>
      <c r="C301" s="413" t="s">
        <v>101</v>
      </c>
      <c r="D301" s="13">
        <v>42.3</v>
      </c>
      <c r="E301" s="13" t="s">
        <v>122</v>
      </c>
      <c r="F301" s="13" t="s">
        <v>102</v>
      </c>
      <c r="G301" s="13">
        <v>28</v>
      </c>
      <c r="H301" s="13">
        <v>72</v>
      </c>
      <c r="I301" s="13">
        <v>46</v>
      </c>
      <c r="J301" s="227">
        <v>28.7</v>
      </c>
      <c r="K301" s="414" t="s">
        <v>103</v>
      </c>
      <c r="L301" s="12" t="s">
        <v>104</v>
      </c>
      <c r="M301" s="415">
        <f>ROUND(((E301*I301*J301* (G301+H301))/(1000000*3.6)),4)</f>
        <v>1.83E-2</v>
      </c>
      <c r="N301" s="13">
        <f>ROUND(((D301*I301*J301*(G301+H301))/1000000000),5)</f>
        <v>5.5799999999999999E-3</v>
      </c>
      <c r="O301" s="900"/>
      <c r="P301" s="900"/>
    </row>
    <row r="302" spans="1:17" ht="15" customHeight="1" x14ac:dyDescent="0.25">
      <c r="A302" s="1361"/>
      <c r="B302" s="417"/>
      <c r="C302" s="418"/>
      <c r="D302" s="417"/>
      <c r="E302" s="417"/>
      <c r="F302" s="417"/>
      <c r="G302" s="417"/>
      <c r="H302" s="417"/>
      <c r="I302" s="417"/>
      <c r="J302" s="419">
        <v>35.65</v>
      </c>
      <c r="K302" s="420" t="s">
        <v>106</v>
      </c>
      <c r="L302" s="339" t="s">
        <v>107</v>
      </c>
      <c r="M302" s="421">
        <f>ROUND(((E301*I301*J302* (G301+H301))/(1000000*3.6)),4)</f>
        <v>2.2800000000000001E-2</v>
      </c>
      <c r="N302" s="422">
        <f>ROUND(((D301*I301*J302*(G301+H301))/1000000000),4)</f>
        <v>6.8999999999999999E-3</v>
      </c>
      <c r="O302" s="900"/>
      <c r="P302" s="900"/>
    </row>
    <row r="303" spans="1:17" ht="15" customHeight="1" x14ac:dyDescent="0.25">
      <c r="A303" s="1361"/>
      <c r="B303" s="424"/>
      <c r="C303" s="425"/>
      <c r="D303" s="426"/>
      <c r="E303" s="426"/>
      <c r="F303" s="426"/>
      <c r="G303" s="426"/>
      <c r="H303" s="426"/>
      <c r="I303" s="426"/>
      <c r="J303" s="427">
        <v>35.65</v>
      </c>
      <c r="K303" s="428" t="s">
        <v>108</v>
      </c>
      <c r="L303" s="429" t="s">
        <v>109</v>
      </c>
      <c r="M303" s="430">
        <f>ROUND(((E301*I301*J303* (G301+H301))/(1000000*3.6)),4)</f>
        <v>2.2800000000000001E-2</v>
      </c>
      <c r="N303" s="429">
        <f>ROUND(((D301*I301*J303*(G301+H301))/1000000000),4)</f>
        <v>6.8999999999999999E-3</v>
      </c>
      <c r="O303" s="900"/>
      <c r="P303" s="900"/>
    </row>
    <row r="304" spans="1:17" ht="15" customHeight="1" x14ac:dyDescent="0.25">
      <c r="A304" s="1368"/>
      <c r="B304" s="464" t="s">
        <v>100</v>
      </c>
      <c r="C304" s="464" t="s">
        <v>101</v>
      </c>
      <c r="D304" s="226">
        <v>144</v>
      </c>
      <c r="E304" s="226" t="s">
        <v>122</v>
      </c>
      <c r="F304" s="226" t="s">
        <v>102</v>
      </c>
      <c r="G304" s="226">
        <v>28</v>
      </c>
      <c r="H304" s="226">
        <v>72</v>
      </c>
      <c r="I304" s="226">
        <v>45</v>
      </c>
      <c r="J304" s="465">
        <v>100</v>
      </c>
      <c r="K304" s="466" t="s">
        <v>103</v>
      </c>
      <c r="L304" s="183" t="s">
        <v>104</v>
      </c>
      <c r="M304" s="467">
        <f>ROUND(((E304*I304*J304* (G304+H304))/(1000000*3.6)),4)</f>
        <v>6.25E-2</v>
      </c>
      <c r="N304" s="226">
        <f>ROUND(((D304*I304*J304*(G304+H304))/1000000000),5)</f>
        <v>6.4799999999999996E-2</v>
      </c>
      <c r="O304" s="900"/>
      <c r="P304" s="900"/>
    </row>
    <row r="305" spans="1:18" ht="15" customHeight="1" x14ac:dyDescent="0.25">
      <c r="A305" s="1368"/>
      <c r="B305" s="413" t="s">
        <v>110</v>
      </c>
      <c r="C305" s="413" t="s">
        <v>101</v>
      </c>
      <c r="D305" s="13">
        <v>72</v>
      </c>
      <c r="E305" s="13" t="s">
        <v>122</v>
      </c>
      <c r="F305" s="13" t="s">
        <v>102</v>
      </c>
      <c r="G305" s="13">
        <v>28</v>
      </c>
      <c r="H305" s="13">
        <v>72</v>
      </c>
      <c r="I305" s="13">
        <v>45</v>
      </c>
      <c r="J305" s="227">
        <v>50</v>
      </c>
      <c r="K305" s="434" t="s">
        <v>103</v>
      </c>
      <c r="L305" s="13" t="s">
        <v>104</v>
      </c>
      <c r="M305" s="415">
        <f>ROUND(((E305*I305*J305* (G305+H305))/(1000000*3.6)),4)</f>
        <v>3.1300000000000001E-2</v>
      </c>
      <c r="N305" s="13">
        <f>ROUND(((D305*I305*J305*(G305+H305))/1000000000),4)</f>
        <v>1.6199999999999999E-2</v>
      </c>
      <c r="O305" s="900"/>
      <c r="P305" s="900"/>
    </row>
    <row r="306" spans="1:18" ht="15" customHeight="1" x14ac:dyDescent="0.25">
      <c r="A306" s="1369"/>
      <c r="B306" s="424"/>
      <c r="C306" s="425"/>
      <c r="D306" s="426"/>
      <c r="E306" s="426"/>
      <c r="F306" s="426"/>
      <c r="G306" s="426"/>
      <c r="H306" s="426"/>
      <c r="I306" s="426"/>
      <c r="J306" s="427">
        <v>50</v>
      </c>
      <c r="K306" s="428" t="s">
        <v>106</v>
      </c>
      <c r="L306" s="340" t="s">
        <v>107</v>
      </c>
      <c r="M306" s="430">
        <f>ROUND(((E305*I305*J306* (G305+H305))/(1000000*3.6)),4)</f>
        <v>3.1300000000000001E-2</v>
      </c>
      <c r="N306" s="429">
        <f>ROUND(((D305*I305*J306*(G305+H305))/1000000000),4)</f>
        <v>1.6199999999999999E-2</v>
      </c>
      <c r="O306" s="900"/>
      <c r="P306" s="900"/>
    </row>
    <row r="307" spans="1:18" ht="15" customHeight="1" x14ac:dyDescent="0.25">
      <c r="A307" s="1389" t="s">
        <v>398</v>
      </c>
      <c r="B307" s="1390"/>
      <c r="C307" s="1390"/>
      <c r="D307" s="1390"/>
      <c r="E307" s="1390"/>
      <c r="F307" s="1390"/>
      <c r="G307" s="1390"/>
      <c r="H307" s="1390"/>
      <c r="I307" s="1390"/>
      <c r="J307" s="1391"/>
      <c r="K307" s="447" t="s">
        <v>103</v>
      </c>
      <c r="L307" s="448" t="s">
        <v>104</v>
      </c>
      <c r="M307" s="448">
        <f>MAX(M301,M304,M305)</f>
        <v>6.25E-2</v>
      </c>
      <c r="N307" s="448">
        <f>N301+N304+N305</f>
        <v>8.657999999999999E-2</v>
      </c>
      <c r="O307" s="25"/>
      <c r="P307" s="25"/>
    </row>
    <row r="308" spans="1:18" ht="15" customHeight="1" x14ac:dyDescent="0.25">
      <c r="A308" s="1332"/>
      <c r="B308" s="1333"/>
      <c r="C308" s="1333"/>
      <c r="D308" s="1333"/>
      <c r="E308" s="1333"/>
      <c r="F308" s="1333"/>
      <c r="G308" s="1333"/>
      <c r="H308" s="1333"/>
      <c r="I308" s="1333"/>
      <c r="J308" s="1334"/>
      <c r="K308" s="469" t="s">
        <v>106</v>
      </c>
      <c r="L308" s="452" t="s">
        <v>107</v>
      </c>
      <c r="M308" s="451">
        <f>MAX(M302,M306)</f>
        <v>3.1300000000000001E-2</v>
      </c>
      <c r="N308" s="451">
        <f>N302+N306</f>
        <v>2.3099999999999999E-2</v>
      </c>
      <c r="O308" s="900"/>
      <c r="P308" s="900"/>
    </row>
    <row r="309" spans="1:18" ht="15" customHeight="1" x14ac:dyDescent="0.25">
      <c r="A309" s="1335"/>
      <c r="B309" s="1336"/>
      <c r="C309" s="1336"/>
      <c r="D309" s="1336"/>
      <c r="E309" s="1336"/>
      <c r="F309" s="1336"/>
      <c r="G309" s="1336"/>
      <c r="H309" s="1336"/>
      <c r="I309" s="1336"/>
      <c r="J309" s="1337"/>
      <c r="K309" s="454" t="s">
        <v>108</v>
      </c>
      <c r="L309" s="455" t="s">
        <v>109</v>
      </c>
      <c r="M309" s="456">
        <f>M303</f>
        <v>2.2800000000000001E-2</v>
      </c>
      <c r="N309" s="456">
        <f>N303</f>
        <v>6.8999999999999999E-3</v>
      </c>
      <c r="O309" s="25">
        <f>SUM(M307:M309)</f>
        <v>0.1166</v>
      </c>
      <c r="P309" s="25">
        <f>SUM(N307:N309)</f>
        <v>0.11657999999999999</v>
      </c>
    </row>
    <row r="310" spans="1:18" ht="15" customHeight="1" x14ac:dyDescent="0.25">
      <c r="A310" s="1353" t="s">
        <v>215</v>
      </c>
      <c r="B310" s="1358"/>
      <c r="C310" s="1358"/>
      <c r="D310" s="1358"/>
      <c r="E310" s="1358"/>
      <c r="F310" s="1358"/>
      <c r="G310" s="1358"/>
      <c r="H310" s="1358"/>
      <c r="I310" s="1358"/>
      <c r="J310" s="1358"/>
      <c r="K310" s="1358"/>
      <c r="L310" s="1358"/>
      <c r="M310" s="1358"/>
      <c r="N310" s="1359"/>
      <c r="O310" s="908"/>
      <c r="P310" s="908"/>
    </row>
    <row r="311" spans="1:18" ht="30" customHeight="1" x14ac:dyDescent="0.25">
      <c r="A311" s="1365">
        <v>7028</v>
      </c>
      <c r="B311" s="478" t="s">
        <v>322</v>
      </c>
      <c r="C311" s="477" t="s">
        <v>101</v>
      </c>
      <c r="D311" s="474">
        <v>1365</v>
      </c>
      <c r="E311" s="474" t="s">
        <v>345</v>
      </c>
      <c r="F311" s="474" t="s">
        <v>102</v>
      </c>
      <c r="G311" s="474">
        <v>28</v>
      </c>
      <c r="H311" s="474">
        <v>72</v>
      </c>
      <c r="I311" s="474">
        <v>60</v>
      </c>
      <c r="J311" s="474">
        <v>100</v>
      </c>
      <c r="K311" s="478" t="s">
        <v>205</v>
      </c>
      <c r="L311" s="474" t="s">
        <v>59</v>
      </c>
      <c r="M311" s="474">
        <f>ROUND(((E311*I311*J311* (G311+H311))/(1000000*3.6)),4)</f>
        <v>0.41670000000000001</v>
      </c>
      <c r="N311" s="474">
        <f>ROUND(((D311*I311*J311*(G311+H311))/1000000000),4)</f>
        <v>0.81899999999999995</v>
      </c>
      <c r="O311" s="569"/>
      <c r="P311" s="569"/>
    </row>
    <row r="312" spans="1:18" ht="15" customHeight="1" x14ac:dyDescent="0.25">
      <c r="A312" s="1366"/>
      <c r="B312" s="432" t="s">
        <v>119</v>
      </c>
      <c r="C312" s="432" t="s">
        <v>101</v>
      </c>
      <c r="D312" s="433">
        <v>2723.6</v>
      </c>
      <c r="E312" s="12" t="s">
        <v>377</v>
      </c>
      <c r="F312" s="433" t="s">
        <v>102</v>
      </c>
      <c r="G312" s="12">
        <v>28</v>
      </c>
      <c r="H312" s="433">
        <v>72</v>
      </c>
      <c r="I312" s="345">
        <v>76.5</v>
      </c>
      <c r="J312" s="345">
        <v>4</v>
      </c>
      <c r="K312" s="470" t="s">
        <v>113</v>
      </c>
      <c r="L312" s="433" t="s">
        <v>114</v>
      </c>
      <c r="M312" s="12">
        <f>ROUND(((E312*I312*J312* (G312+H312))/(1000000*3.6)),4)</f>
        <v>3.2300000000000002E-2</v>
      </c>
      <c r="N312" s="435">
        <f>ROUND(((D312*I312*J312*(G312+H312))/1000000000),4)</f>
        <v>8.3299999999999999E-2</v>
      </c>
      <c r="O312" s="25"/>
      <c r="P312" s="25"/>
    </row>
    <row r="313" spans="1:18" ht="15" customHeight="1" x14ac:dyDescent="0.25">
      <c r="A313" s="1366"/>
      <c r="B313" s="437" t="s">
        <v>324</v>
      </c>
      <c r="C313" s="437"/>
      <c r="D313" s="153"/>
      <c r="E313" s="339"/>
      <c r="F313" s="153"/>
      <c r="G313" s="339"/>
      <c r="H313" s="153"/>
      <c r="I313" s="235"/>
      <c r="J313" s="235">
        <v>4</v>
      </c>
      <c r="K313" s="438" t="s">
        <v>111</v>
      </c>
      <c r="L313" s="421" t="s">
        <v>112</v>
      </c>
      <c r="M313" s="339">
        <f>ROUND(((E312*I312*J312* (G312+H312))/(1000000*3.6)),4)</f>
        <v>3.2300000000000002E-2</v>
      </c>
      <c r="N313" s="439">
        <f>ROUND(((D312*I312*J313*(G312+H312))/1000000000),5)</f>
        <v>8.3339999999999997E-2</v>
      </c>
      <c r="O313" s="25"/>
      <c r="P313" s="25"/>
    </row>
    <row r="314" spans="1:18" ht="15" customHeight="1" x14ac:dyDescent="0.25">
      <c r="A314" s="1366"/>
      <c r="B314" s="437"/>
      <c r="C314" s="437"/>
      <c r="D314" s="153"/>
      <c r="E314" s="339"/>
      <c r="F314" s="153"/>
      <c r="G314" s="339"/>
      <c r="H314" s="153"/>
      <c r="I314" s="235"/>
      <c r="J314" s="235">
        <v>33</v>
      </c>
      <c r="K314" s="438" t="s">
        <v>115</v>
      </c>
      <c r="L314" s="153" t="s">
        <v>116</v>
      </c>
      <c r="M314" s="339">
        <f>ROUND(((E312*I312*J314* (G312+H312))/(1000000*3.6)),4)</f>
        <v>0.26650000000000001</v>
      </c>
      <c r="N314" s="439">
        <f>ROUND(((D312*I312*J314*(G312+H312))/1000000000),4)</f>
        <v>0.68759999999999999</v>
      </c>
      <c r="O314" s="25"/>
      <c r="P314" s="25"/>
    </row>
    <row r="315" spans="1:18" ht="15" customHeight="1" x14ac:dyDescent="0.25">
      <c r="A315" s="1366"/>
      <c r="B315" s="437"/>
      <c r="C315" s="437"/>
      <c r="D315" s="153"/>
      <c r="E315" s="339"/>
      <c r="F315" s="153"/>
      <c r="G315" s="339"/>
      <c r="H315" s="153"/>
      <c r="I315" s="235"/>
      <c r="J315" s="235">
        <v>16</v>
      </c>
      <c r="K315" s="471" t="s">
        <v>120</v>
      </c>
      <c r="L315" s="153" t="s">
        <v>121</v>
      </c>
      <c r="M315" s="339">
        <f>ROUND(((E312*I312*J315* (G312+H312))/(1000000*3.6)),4)</f>
        <v>0.12920000000000001</v>
      </c>
      <c r="N315" s="439">
        <f>ROUND(((D312*I312*J315*(G312+H312))/1000000000),4)</f>
        <v>0.33339999999999997</v>
      </c>
      <c r="O315" s="25"/>
      <c r="P315" s="25"/>
    </row>
    <row r="316" spans="1:18" ht="15" customHeight="1" x14ac:dyDescent="0.25">
      <c r="A316" s="1366"/>
      <c r="B316" s="441"/>
      <c r="C316" s="441"/>
      <c r="D316" s="442"/>
      <c r="E316" s="340"/>
      <c r="F316" s="442"/>
      <c r="G316" s="340"/>
      <c r="H316" s="442"/>
      <c r="I316" s="346"/>
      <c r="J316" s="346">
        <v>43</v>
      </c>
      <c r="K316" s="438" t="s">
        <v>117</v>
      </c>
      <c r="L316" s="421" t="s">
        <v>118</v>
      </c>
      <c r="M316" s="339">
        <f>ROUND(((E312*I312*J316* (G312+H312))/(1000000*3.6)),4)</f>
        <v>0.34720000000000001</v>
      </c>
      <c r="N316" s="439">
        <f>ROUND(((D312*I312*J316*(G312+H312))/1000000000),4)</f>
        <v>0.89590000000000003</v>
      </c>
      <c r="O316" s="25"/>
      <c r="P316" s="25"/>
    </row>
    <row r="317" spans="1:18" ht="15" customHeight="1" x14ac:dyDescent="0.25">
      <c r="A317" s="1366"/>
      <c r="B317" s="413" t="s">
        <v>317</v>
      </c>
      <c r="C317" s="413" t="s">
        <v>101</v>
      </c>
      <c r="D317" s="13">
        <v>815</v>
      </c>
      <c r="E317" s="13" t="s">
        <v>375</v>
      </c>
      <c r="F317" s="13" t="s">
        <v>102</v>
      </c>
      <c r="G317" s="13">
        <v>28</v>
      </c>
      <c r="H317" s="13">
        <v>72</v>
      </c>
      <c r="I317" s="13">
        <v>70</v>
      </c>
      <c r="J317" s="227">
        <v>20</v>
      </c>
      <c r="K317" s="434" t="s">
        <v>115</v>
      </c>
      <c r="L317" s="13">
        <v>1210</v>
      </c>
      <c r="M317" s="415">
        <f>ROUND(((E317*I317*J317* (G317+H317))/(1000000*3.6)),4)</f>
        <v>7.7799999999999994E-2</v>
      </c>
      <c r="N317" s="13">
        <f>ROUND(((D317*I317*J317*(G317+H317))/1000000000),4)</f>
        <v>0.11409999999999999</v>
      </c>
      <c r="O317" s="900"/>
      <c r="P317" s="900"/>
    </row>
    <row r="318" spans="1:18" ht="15" customHeight="1" x14ac:dyDescent="0.25">
      <c r="A318" s="1366"/>
      <c r="B318" s="424" t="s">
        <v>318</v>
      </c>
      <c r="C318" s="425"/>
      <c r="D318" s="426"/>
      <c r="E318" s="426"/>
      <c r="F318" s="426"/>
      <c r="G318" s="426"/>
      <c r="H318" s="426"/>
      <c r="I318" s="426"/>
      <c r="J318" s="427">
        <v>80</v>
      </c>
      <c r="K318" s="443" t="s">
        <v>103</v>
      </c>
      <c r="L318" s="429" t="s">
        <v>104</v>
      </c>
      <c r="M318" s="430">
        <f>ROUND(((E317*I317*J318* (G317+H317))/(1000000*3.6)),4)</f>
        <v>0.31109999999999999</v>
      </c>
      <c r="N318" s="429">
        <f>ROUND(((D317*I317*J318*(G317+H317))/1000000000),4)</f>
        <v>0.45639999999999997</v>
      </c>
      <c r="O318" s="900"/>
      <c r="P318" s="900"/>
    </row>
    <row r="319" spans="1:18" ht="15" customHeight="1" x14ac:dyDescent="0.25">
      <c r="A319" s="1366"/>
      <c r="B319" s="413" t="s">
        <v>317</v>
      </c>
      <c r="C319" s="413" t="s">
        <v>101</v>
      </c>
      <c r="D319" s="13">
        <v>452.8</v>
      </c>
      <c r="E319" s="13" t="s">
        <v>375</v>
      </c>
      <c r="F319" s="13" t="s">
        <v>102</v>
      </c>
      <c r="G319" s="13">
        <v>28</v>
      </c>
      <c r="H319" s="13">
        <v>72</v>
      </c>
      <c r="I319" s="13">
        <v>70</v>
      </c>
      <c r="J319" s="227">
        <v>20</v>
      </c>
      <c r="K319" s="434" t="s">
        <v>115</v>
      </c>
      <c r="L319" s="13">
        <v>1210</v>
      </c>
      <c r="M319" s="415">
        <f>ROUND(((E319*I319*J319* (G319+H319))/(1000000*3.6)),4)</f>
        <v>7.7799999999999994E-2</v>
      </c>
      <c r="N319" s="13">
        <f>ROUND(((D319*I319*J319*(G319+H319))/1000000000),4)</f>
        <v>6.3399999999999998E-2</v>
      </c>
      <c r="O319" s="900"/>
      <c r="P319" s="900"/>
      <c r="Q319" s="50"/>
      <c r="R319" s="9"/>
    </row>
    <row r="320" spans="1:18" ht="15" customHeight="1" x14ac:dyDescent="0.25">
      <c r="A320" s="1366"/>
      <c r="B320" s="489" t="s">
        <v>325</v>
      </c>
      <c r="C320" s="418"/>
      <c r="D320" s="417"/>
      <c r="E320" s="417"/>
      <c r="F320" s="417"/>
      <c r="G320" s="417"/>
      <c r="H320" s="417"/>
      <c r="I320" s="417"/>
      <c r="J320" s="419">
        <v>80</v>
      </c>
      <c r="K320" s="438" t="s">
        <v>103</v>
      </c>
      <c r="L320" s="422" t="s">
        <v>104</v>
      </c>
      <c r="M320" s="421">
        <f>ROUND(((E319*I319*J320* (G319+H319))/(1000000*3.6)),4)</f>
        <v>0.31109999999999999</v>
      </c>
      <c r="N320" s="422">
        <f>ROUND(((D319*I319*J320*(G319+H319))/1000000000),4)</f>
        <v>0.25359999999999999</v>
      </c>
      <c r="O320" s="900"/>
      <c r="P320" s="900"/>
      <c r="Q320" s="50"/>
      <c r="R320" s="9"/>
    </row>
    <row r="321" spans="1:19" ht="15" customHeight="1" x14ac:dyDescent="0.25">
      <c r="A321" s="1366"/>
      <c r="B321" s="521" t="s">
        <v>326</v>
      </c>
      <c r="C321" s="413" t="s">
        <v>101</v>
      </c>
      <c r="D321" s="415">
        <v>238.8</v>
      </c>
      <c r="E321" s="13">
        <v>1</v>
      </c>
      <c r="F321" s="415" t="s">
        <v>102</v>
      </c>
      <c r="G321" s="13">
        <v>28</v>
      </c>
      <c r="H321" s="415">
        <v>72</v>
      </c>
      <c r="I321" s="345">
        <v>43</v>
      </c>
      <c r="J321" s="345">
        <v>100</v>
      </c>
      <c r="K321" s="470" t="s">
        <v>103</v>
      </c>
      <c r="L321" s="12" t="s">
        <v>104</v>
      </c>
      <c r="M321" s="12">
        <f>ROUND(((E321*I321*J321* (G321+H321))/(1000000*3.6)),4)</f>
        <v>0.11940000000000001</v>
      </c>
      <c r="N321" s="435">
        <f>ROUND(((D321*I321*J321*(G321+H321))/1000000000),4)</f>
        <v>0.1027</v>
      </c>
      <c r="O321" s="25"/>
      <c r="P321" s="25"/>
      <c r="Q321" s="50"/>
      <c r="R321" s="9"/>
    </row>
    <row r="322" spans="1:19" ht="15" customHeight="1" x14ac:dyDescent="0.25">
      <c r="A322" s="1366"/>
      <c r="B322" s="522" t="s">
        <v>327</v>
      </c>
      <c r="C322" s="426"/>
      <c r="D322" s="26"/>
      <c r="E322" s="426"/>
      <c r="F322" s="26"/>
      <c r="G322" s="426"/>
      <c r="H322" s="26"/>
      <c r="I322" s="346"/>
      <c r="J322" s="346"/>
      <c r="K322" s="443"/>
      <c r="L322" s="430"/>
      <c r="M322" s="340"/>
      <c r="N322" s="444"/>
      <c r="O322" s="905"/>
      <c r="P322" s="905"/>
      <c r="Q322" s="50"/>
      <c r="R322" s="9"/>
    </row>
    <row r="323" spans="1:19" ht="15" customHeight="1" x14ac:dyDescent="0.25">
      <c r="A323" s="1366"/>
      <c r="B323" s="417" t="s">
        <v>220</v>
      </c>
      <c r="C323" s="417" t="s">
        <v>101</v>
      </c>
      <c r="D323" s="422">
        <v>3307.9</v>
      </c>
      <c r="E323" s="422" t="s">
        <v>376</v>
      </c>
      <c r="F323" s="422" t="s">
        <v>102</v>
      </c>
      <c r="G323" s="422">
        <v>28</v>
      </c>
      <c r="H323" s="422">
        <v>72</v>
      </c>
      <c r="I323" s="337">
        <v>25</v>
      </c>
      <c r="J323" s="419">
        <v>100</v>
      </c>
      <c r="K323" s="523" t="s">
        <v>108</v>
      </c>
      <c r="L323" s="226" t="s">
        <v>109</v>
      </c>
      <c r="M323" s="421">
        <f>ROUND(((E323*I323*J323* (G323+H323))/(1000000*3.6)),4)</f>
        <v>0.36109999999999998</v>
      </c>
      <c r="N323" s="422">
        <f>ROUND(((D323*I323*J323*(G323+H323))/1000000000),4)</f>
        <v>0.82699999999999996</v>
      </c>
      <c r="O323" s="900"/>
      <c r="P323" s="900"/>
    </row>
    <row r="324" spans="1:19" ht="15" customHeight="1" x14ac:dyDescent="0.25">
      <c r="A324" s="1366"/>
      <c r="B324" s="413" t="s">
        <v>328</v>
      </c>
      <c r="C324" s="413" t="s">
        <v>101</v>
      </c>
      <c r="D324" s="13">
        <v>493.1</v>
      </c>
      <c r="E324" s="13" t="s">
        <v>219</v>
      </c>
      <c r="F324" s="13" t="s">
        <v>102</v>
      </c>
      <c r="G324" s="13">
        <v>28</v>
      </c>
      <c r="H324" s="227">
        <v>72</v>
      </c>
      <c r="I324" s="227">
        <v>45</v>
      </c>
      <c r="J324" s="13">
        <v>100</v>
      </c>
      <c r="K324" s="524" t="s">
        <v>103</v>
      </c>
      <c r="L324" s="12" t="s">
        <v>104</v>
      </c>
      <c r="M324" s="415">
        <f>ROUND(((E324*I324*J324* (G324+H324))/(1000000*3.6)),4)</f>
        <v>0.1875</v>
      </c>
      <c r="N324" s="13">
        <f>ROUND(((D324*I324*J324*(G324+H324))/1000000000),4)</f>
        <v>0.22189999999999999</v>
      </c>
      <c r="O324" s="900"/>
      <c r="P324" s="900"/>
      <c r="S324" s="47" t="s">
        <v>330</v>
      </c>
    </row>
    <row r="325" spans="1:19" ht="15" customHeight="1" x14ac:dyDescent="0.25">
      <c r="A325" s="1366"/>
      <c r="B325" s="489" t="s">
        <v>329</v>
      </c>
      <c r="C325" s="418"/>
      <c r="D325" s="417"/>
      <c r="E325" s="417"/>
      <c r="F325" s="417"/>
      <c r="G325" s="417"/>
      <c r="H325" s="525"/>
      <c r="I325" s="343"/>
      <c r="J325" s="337"/>
      <c r="K325" s="526"/>
      <c r="L325" s="422"/>
      <c r="M325" s="421"/>
      <c r="N325" s="422"/>
      <c r="O325" s="900"/>
      <c r="P325" s="900"/>
    </row>
    <row r="326" spans="1:19" ht="15" customHeight="1" x14ac:dyDescent="0.25">
      <c r="A326" s="1366"/>
      <c r="B326" s="527" t="s">
        <v>331</v>
      </c>
      <c r="C326" s="413" t="s">
        <v>101</v>
      </c>
      <c r="D326" s="415">
        <v>12.5</v>
      </c>
      <c r="E326" s="13" t="s">
        <v>240</v>
      </c>
      <c r="F326" s="415" t="s">
        <v>102</v>
      </c>
      <c r="G326" s="13">
        <v>28</v>
      </c>
      <c r="H326" s="415">
        <v>72</v>
      </c>
      <c r="I326" s="344">
        <v>86</v>
      </c>
      <c r="J326" s="528">
        <v>20.04</v>
      </c>
      <c r="K326" s="470" t="s">
        <v>113</v>
      </c>
      <c r="L326" s="433" t="s">
        <v>114</v>
      </c>
      <c r="M326" s="13">
        <f>ROUND(((E326*I326*J326* (G326+H326))/(1000000*3.6)),4)</f>
        <v>4.7999999999999996E-3</v>
      </c>
      <c r="N326" s="529">
        <f>ROUND(((D326*I326*J326*(G326+H326))/1000000000),4)</f>
        <v>2.2000000000000001E-3</v>
      </c>
      <c r="O326" s="900"/>
      <c r="P326" s="900"/>
      <c r="Q326" s="50"/>
    </row>
    <row r="327" spans="1:19" ht="15" customHeight="1" x14ac:dyDescent="0.25">
      <c r="A327" s="1366"/>
      <c r="B327" s="530" t="s">
        <v>332</v>
      </c>
      <c r="C327" s="417"/>
      <c r="E327" s="417"/>
      <c r="G327" s="417"/>
      <c r="I327" s="337"/>
      <c r="J327" s="531">
        <v>12.6</v>
      </c>
      <c r="K327" s="438" t="s">
        <v>111</v>
      </c>
      <c r="L327" s="421" t="s">
        <v>112</v>
      </c>
      <c r="M327" s="422">
        <f>ROUND(((E326*I326*J327* (G326+H326))/(1000000*3.6)),4)</f>
        <v>3.0000000000000001E-3</v>
      </c>
      <c r="N327" s="480">
        <f>ROUND(((D326*I326*J327*(G326+H326))/1000000000),4)</f>
        <v>1.4E-3</v>
      </c>
      <c r="O327" s="900"/>
      <c r="P327" s="900"/>
    </row>
    <row r="328" spans="1:19" ht="15" customHeight="1" x14ac:dyDescent="0.25">
      <c r="A328" s="1366"/>
      <c r="B328" s="532"/>
      <c r="C328" s="426"/>
      <c r="D328" s="26"/>
      <c r="E328" s="426"/>
      <c r="F328" s="26"/>
      <c r="G328" s="426"/>
      <c r="H328" s="26"/>
      <c r="I328" s="338"/>
      <c r="J328" s="533">
        <v>67.36</v>
      </c>
      <c r="K328" s="443" t="s">
        <v>103</v>
      </c>
      <c r="L328" s="430" t="s">
        <v>104</v>
      </c>
      <c r="M328" s="429">
        <f>ROUND(((E326*I326*J328* (G326+H326))/(1000000*3.6)),4)</f>
        <v>1.61E-2</v>
      </c>
      <c r="N328" s="482">
        <f>ROUND(((D326*I326*J328*(G326+H326))/1000000000),4)</f>
        <v>7.1999999999999998E-3</v>
      </c>
      <c r="O328" s="900"/>
      <c r="P328" s="900"/>
    </row>
    <row r="329" spans="1:19" ht="15" customHeight="1" x14ac:dyDescent="0.25">
      <c r="A329" s="1366"/>
      <c r="B329" s="417" t="s">
        <v>105</v>
      </c>
      <c r="C329" s="417" t="s">
        <v>101</v>
      </c>
      <c r="D329" s="422">
        <v>295.39999999999998</v>
      </c>
      <c r="E329" s="422" t="s">
        <v>90</v>
      </c>
      <c r="F329" s="422" t="s">
        <v>102</v>
      </c>
      <c r="G329" s="422">
        <v>28</v>
      </c>
      <c r="H329" s="422">
        <v>72</v>
      </c>
      <c r="I329" s="422">
        <v>46</v>
      </c>
      <c r="J329" s="419">
        <v>28.7</v>
      </c>
      <c r="K329" s="479" t="s">
        <v>103</v>
      </c>
      <c r="L329" s="339" t="s">
        <v>104</v>
      </c>
      <c r="M329" s="422">
        <f>ROUND(((E329*I329*J329* (G329+H329))/(1000000*3.6)),4)</f>
        <v>3.6700000000000003E-2</v>
      </c>
      <c r="N329" s="480">
        <f>ROUND(((D329*I329*J329*(G329+H329))/1000000000),5)</f>
        <v>3.9E-2</v>
      </c>
      <c r="O329" s="900"/>
      <c r="P329" s="900"/>
    </row>
    <row r="330" spans="1:19" ht="15" customHeight="1" x14ac:dyDescent="0.25">
      <c r="A330" s="1366"/>
      <c r="B330" s="417"/>
      <c r="C330" s="418"/>
      <c r="D330" s="417"/>
      <c r="E330" s="417"/>
      <c r="F330" s="417"/>
      <c r="G330" s="417"/>
      <c r="H330" s="417"/>
      <c r="I330" s="417"/>
      <c r="J330" s="419">
        <v>35.65</v>
      </c>
      <c r="K330" s="420" t="s">
        <v>106</v>
      </c>
      <c r="L330" s="339" t="s">
        <v>107</v>
      </c>
      <c r="M330" s="422">
        <f>ROUND(((E329*I329*J330* (G329+H329))/(1000000*3.6)),4)</f>
        <v>4.5600000000000002E-2</v>
      </c>
      <c r="N330" s="480">
        <f>ROUND(((D329*I329*J330*(G329+H329))/1000000000),4)</f>
        <v>4.8399999999999999E-2</v>
      </c>
      <c r="O330" s="900"/>
      <c r="P330" s="900"/>
    </row>
    <row r="331" spans="1:19" ht="15" customHeight="1" x14ac:dyDescent="0.25">
      <c r="A331" s="1366"/>
      <c r="B331" s="424"/>
      <c r="C331" s="425"/>
      <c r="D331" s="426"/>
      <c r="E331" s="426"/>
      <c r="F331" s="426"/>
      <c r="G331" s="426"/>
      <c r="H331" s="426"/>
      <c r="I331" s="426"/>
      <c r="J331" s="427">
        <v>35.65</v>
      </c>
      <c r="K331" s="428" t="s">
        <v>108</v>
      </c>
      <c r="L331" s="429" t="s">
        <v>109</v>
      </c>
      <c r="M331" s="429">
        <f>ROUND(((E329*I329*J331* (G329+H329))/(1000000*3.6)),4)</f>
        <v>4.5600000000000002E-2</v>
      </c>
      <c r="N331" s="482">
        <f>ROUND(((D329*I329*J331*(G329+H329))/1000000000),4)</f>
        <v>4.8399999999999999E-2</v>
      </c>
      <c r="O331" s="900"/>
      <c r="P331" s="900"/>
    </row>
    <row r="332" spans="1:19" ht="15" customHeight="1" x14ac:dyDescent="0.25">
      <c r="A332" s="1366"/>
      <c r="B332" s="413" t="s">
        <v>222</v>
      </c>
      <c r="C332" s="413" t="s">
        <v>101</v>
      </c>
      <c r="D332" s="13">
        <v>5564.1</v>
      </c>
      <c r="E332" s="13" t="s">
        <v>378</v>
      </c>
      <c r="F332" s="13" t="s">
        <v>102</v>
      </c>
      <c r="G332" s="13">
        <v>28</v>
      </c>
      <c r="H332" s="13">
        <v>72</v>
      </c>
      <c r="I332" s="226">
        <v>25</v>
      </c>
      <c r="J332" s="465">
        <v>100</v>
      </c>
      <c r="K332" s="523" t="s">
        <v>108</v>
      </c>
      <c r="L332" s="226" t="s">
        <v>109</v>
      </c>
      <c r="M332" s="226">
        <f>ROUND(((E332*I332*J332* (G332+H332))/(1000000*3.6)),4)</f>
        <v>0.48609999999999998</v>
      </c>
      <c r="N332" s="534">
        <f>ROUND(((D332*I332*J332*(G332+H332))/1000000000),5)</f>
        <v>1.39103</v>
      </c>
      <c r="O332" s="900"/>
      <c r="P332" s="900"/>
      <c r="Q332" s="50"/>
      <c r="R332" s="9"/>
    </row>
    <row r="333" spans="1:19" ht="15" customHeight="1" x14ac:dyDescent="0.25">
      <c r="A333" s="1366"/>
      <c r="B333" s="535" t="s">
        <v>221</v>
      </c>
      <c r="C333" s="536" t="s">
        <v>101</v>
      </c>
      <c r="D333" s="537">
        <v>1591.8</v>
      </c>
      <c r="E333" s="412" t="s">
        <v>345</v>
      </c>
      <c r="F333" s="537" t="s">
        <v>102</v>
      </c>
      <c r="G333" s="412">
        <v>28</v>
      </c>
      <c r="H333" s="538">
        <v>72</v>
      </c>
      <c r="I333" s="433">
        <v>64.5</v>
      </c>
      <c r="J333" s="345">
        <v>50</v>
      </c>
      <c r="K333" s="434" t="s">
        <v>115</v>
      </c>
      <c r="L333" s="13">
        <v>1210</v>
      </c>
      <c r="M333" s="12">
        <f>ROUND(((E333*I333*J333* (G333+H333))/(1000000*3.6)),4)</f>
        <v>0.224</v>
      </c>
      <c r="N333" s="435">
        <f>ROUND(((D333*I333*J333*(G333+H333))/1000000000),4)</f>
        <v>0.51339999999999997</v>
      </c>
      <c r="O333" s="25"/>
      <c r="P333" s="25"/>
      <c r="Q333" s="50"/>
      <c r="R333" s="9"/>
    </row>
    <row r="334" spans="1:19" ht="15" customHeight="1" x14ac:dyDescent="0.25">
      <c r="A334" s="1366"/>
      <c r="B334" s="539"/>
      <c r="C334" s="445"/>
      <c r="D334" s="540"/>
      <c r="E334" s="416"/>
      <c r="F334" s="540"/>
      <c r="G334" s="416"/>
      <c r="H334" s="541"/>
      <c r="I334" s="153"/>
      <c r="J334" s="235">
        <v>20</v>
      </c>
      <c r="K334" s="438" t="s">
        <v>111</v>
      </c>
      <c r="L334" s="421" t="s">
        <v>112</v>
      </c>
      <c r="M334" s="339">
        <f>ROUND(((E333*I333*J333* (G333+H333))/(1000000*3.6)),4)</f>
        <v>0.224</v>
      </c>
      <c r="N334" s="439">
        <f>ROUND(((D333*I333*J334*(G333+H333))/1000000000),5)</f>
        <v>0.20533999999999999</v>
      </c>
      <c r="O334" s="25"/>
      <c r="P334" s="25"/>
      <c r="Q334" s="50"/>
      <c r="R334" s="9"/>
    </row>
    <row r="335" spans="1:19" ht="15" customHeight="1" x14ac:dyDescent="0.25">
      <c r="A335" s="1366"/>
      <c r="B335" s="539"/>
      <c r="C335" s="445"/>
      <c r="D335" s="540"/>
      <c r="E335" s="416"/>
      <c r="F335" s="540"/>
      <c r="G335" s="416"/>
      <c r="H335" s="541"/>
      <c r="I335" s="153"/>
      <c r="J335" s="235">
        <v>10</v>
      </c>
      <c r="K335" s="438" t="s">
        <v>274</v>
      </c>
      <c r="L335" s="153" t="s">
        <v>275</v>
      </c>
      <c r="M335" s="339">
        <f>ROUND(((E333*I333*J335* (G333+H333))/(1000000*3.6)),4)</f>
        <v>4.48E-2</v>
      </c>
      <c r="N335" s="439">
        <f>ROUND(((D333*I333*J335*(G333+H333))/1000000000),4)</f>
        <v>0.1027</v>
      </c>
      <c r="O335" s="25"/>
      <c r="P335" s="25"/>
      <c r="Q335" s="50"/>
      <c r="R335" s="9"/>
    </row>
    <row r="336" spans="1:19" ht="15" customHeight="1" x14ac:dyDescent="0.25">
      <c r="A336" s="1366"/>
      <c r="B336" s="542"/>
      <c r="C336" s="446"/>
      <c r="D336" s="543"/>
      <c r="E336" s="423"/>
      <c r="F336" s="543"/>
      <c r="G336" s="423"/>
      <c r="H336" s="544"/>
      <c r="I336" s="442"/>
      <c r="J336" s="346">
        <v>20</v>
      </c>
      <c r="K336" s="443" t="s">
        <v>117</v>
      </c>
      <c r="L336" s="430" t="s">
        <v>118</v>
      </c>
      <c r="M336" s="340">
        <f>ROUND(((E333*I333*J336* (G333+H333))/(1000000*3.6)),4)</f>
        <v>8.9599999999999999E-2</v>
      </c>
      <c r="N336" s="444">
        <f>ROUND(((D333*I333*J336*(G333+H333))/1000000000),4)</f>
        <v>0.20530000000000001</v>
      </c>
      <c r="O336" s="25"/>
      <c r="P336" s="25"/>
      <c r="Q336" s="50"/>
      <c r="R336" s="9"/>
    </row>
    <row r="337" spans="1:19" ht="15" customHeight="1" x14ac:dyDescent="0.25">
      <c r="A337" s="1366"/>
      <c r="B337" s="545" t="s">
        <v>206</v>
      </c>
      <c r="C337" s="417" t="s">
        <v>101</v>
      </c>
      <c r="D337" s="422">
        <v>7</v>
      </c>
      <c r="E337" s="421">
        <v>0.5</v>
      </c>
      <c r="F337" s="422" t="s">
        <v>102</v>
      </c>
      <c r="G337" s="422">
        <v>28</v>
      </c>
      <c r="H337" s="422">
        <v>72</v>
      </c>
      <c r="I337" s="415">
        <v>45</v>
      </c>
      <c r="J337" s="13">
        <v>50</v>
      </c>
      <c r="K337" s="470" t="s">
        <v>103</v>
      </c>
      <c r="L337" s="344" t="s">
        <v>104</v>
      </c>
      <c r="M337" s="415">
        <f>ROUND(((E337*I337*J337* (G337+H337))/(1000000*3.6)),4)</f>
        <v>3.1300000000000001E-2</v>
      </c>
      <c r="N337" s="13">
        <f>ROUND(((D337*I337*J337*(G337+H337))/1000000000),4)</f>
        <v>1.6000000000000001E-3</v>
      </c>
      <c r="O337" s="900"/>
      <c r="P337" s="900"/>
    </row>
    <row r="338" spans="1:19" ht="15" customHeight="1" x14ac:dyDescent="0.25">
      <c r="A338" s="1367"/>
      <c r="B338" s="546" t="s">
        <v>127</v>
      </c>
      <c r="C338" s="485"/>
      <c r="D338" s="426"/>
      <c r="E338" s="26"/>
      <c r="F338" s="426"/>
      <c r="G338" s="26"/>
      <c r="H338" s="426"/>
      <c r="I338" s="26"/>
      <c r="J338" s="429">
        <v>50</v>
      </c>
      <c r="K338" s="486" t="s">
        <v>106</v>
      </c>
      <c r="L338" s="338">
        <v>2752</v>
      </c>
      <c r="M338" s="430">
        <f>ROUND(((E337*I337*J338* (G337+H337))/(1000000*3.6)),4)</f>
        <v>3.1300000000000001E-2</v>
      </c>
      <c r="N338" s="429">
        <f>ROUND(((D337*I337*J338*(G337+H337))/1000000000),4)</f>
        <v>1.6000000000000001E-3</v>
      </c>
      <c r="O338" s="900"/>
      <c r="P338" s="900"/>
    </row>
    <row r="339" spans="1:19" s="148" customFormat="1" ht="15" customHeight="1" x14ac:dyDescent="0.25">
      <c r="A339" s="1352" t="s">
        <v>403</v>
      </c>
      <c r="B339" s="1352"/>
      <c r="C339" s="1352"/>
      <c r="D339" s="1352"/>
      <c r="E339" s="1352"/>
      <c r="F339" s="1352"/>
      <c r="G339" s="1352"/>
      <c r="H339" s="1352"/>
      <c r="I339" s="1352"/>
      <c r="J339" s="1352"/>
      <c r="K339" s="447" t="s">
        <v>106</v>
      </c>
      <c r="L339" s="448" t="s">
        <v>107</v>
      </c>
      <c r="M339" s="449">
        <f>MAX(M330,M338)</f>
        <v>4.5600000000000002E-2</v>
      </c>
      <c r="N339" s="449">
        <f>N330+N338</f>
        <v>4.9999999999999996E-2</v>
      </c>
      <c r="O339" s="902"/>
      <c r="P339" s="902"/>
      <c r="Q339" s="150"/>
    </row>
    <row r="340" spans="1:19" s="148" customFormat="1" ht="15" customHeight="1" x14ac:dyDescent="0.25">
      <c r="A340" s="1352"/>
      <c r="B340" s="1352"/>
      <c r="C340" s="1352"/>
      <c r="D340" s="1352"/>
      <c r="E340" s="1352"/>
      <c r="F340" s="1352"/>
      <c r="G340" s="1352"/>
      <c r="H340" s="1352"/>
      <c r="I340" s="1352"/>
      <c r="J340" s="1352"/>
      <c r="K340" s="469" t="s">
        <v>103</v>
      </c>
      <c r="L340" s="452" t="s">
        <v>104</v>
      </c>
      <c r="M340" s="452">
        <f>MAX(M318,M320,M321,M324,M328,M329,M337)</f>
        <v>0.31109999999999999</v>
      </c>
      <c r="N340" s="452">
        <f>N318+N320+N321+N324+N328+N329+N337</f>
        <v>1.0824</v>
      </c>
      <c r="O340" s="901"/>
      <c r="P340" s="901"/>
      <c r="Q340" s="150"/>
    </row>
    <row r="341" spans="1:19" s="148" customFormat="1" ht="15" customHeight="1" x14ac:dyDescent="0.25">
      <c r="A341" s="1352"/>
      <c r="B341" s="1352"/>
      <c r="C341" s="1352"/>
      <c r="D341" s="1352"/>
      <c r="E341" s="1352"/>
      <c r="F341" s="1352"/>
      <c r="G341" s="1352"/>
      <c r="H341" s="1352"/>
      <c r="I341" s="1352"/>
      <c r="J341" s="1352"/>
      <c r="K341" s="450" t="s">
        <v>108</v>
      </c>
      <c r="L341" s="451" t="s">
        <v>109</v>
      </c>
      <c r="M341" s="452">
        <f>MAX(M323,M331,M332)</f>
        <v>0.48609999999999998</v>
      </c>
      <c r="N341" s="452">
        <f>N323+N331+N332</f>
        <v>2.2664299999999997</v>
      </c>
      <c r="O341" s="901"/>
      <c r="P341" s="901"/>
      <c r="Q341" s="150"/>
    </row>
    <row r="342" spans="1:19" s="148" customFormat="1" ht="15" customHeight="1" x14ac:dyDescent="0.25">
      <c r="A342" s="1352"/>
      <c r="B342" s="1352"/>
      <c r="C342" s="1352"/>
      <c r="D342" s="1352"/>
      <c r="E342" s="1352"/>
      <c r="F342" s="1352"/>
      <c r="G342" s="1352"/>
      <c r="H342" s="1352"/>
      <c r="I342" s="1352"/>
      <c r="J342" s="1352"/>
      <c r="K342" s="450" t="s">
        <v>274</v>
      </c>
      <c r="L342" s="453" t="s">
        <v>275</v>
      </c>
      <c r="M342" s="452">
        <f>M335</f>
        <v>4.48E-2</v>
      </c>
      <c r="N342" s="452">
        <f>N335</f>
        <v>0.1027</v>
      </c>
      <c r="O342" s="901"/>
      <c r="P342" s="901"/>
      <c r="Q342" s="150"/>
    </row>
    <row r="343" spans="1:19" s="148" customFormat="1" ht="15" customHeight="1" x14ac:dyDescent="0.25">
      <c r="A343" s="1352"/>
      <c r="B343" s="1352"/>
      <c r="C343" s="1352"/>
      <c r="D343" s="1352"/>
      <c r="E343" s="1352"/>
      <c r="F343" s="1352"/>
      <c r="G343" s="1352"/>
      <c r="H343" s="1352"/>
      <c r="I343" s="1352"/>
      <c r="J343" s="1352"/>
      <c r="K343" s="450" t="s">
        <v>111</v>
      </c>
      <c r="L343" s="451" t="s">
        <v>112</v>
      </c>
      <c r="M343" s="452">
        <f>MAX(M313,M327,M334)</f>
        <v>0.224</v>
      </c>
      <c r="N343" s="452">
        <f>N313+N327+N334</f>
        <v>0.29008</v>
      </c>
      <c r="O343" s="901"/>
      <c r="P343" s="901"/>
      <c r="Q343" s="150"/>
    </row>
    <row r="344" spans="1:19" s="148" customFormat="1" ht="15" customHeight="1" x14ac:dyDescent="0.25">
      <c r="A344" s="1352"/>
      <c r="B344" s="1352"/>
      <c r="C344" s="1352"/>
      <c r="D344" s="1352"/>
      <c r="E344" s="1352"/>
      <c r="F344" s="1352"/>
      <c r="G344" s="1352"/>
      <c r="H344" s="1352"/>
      <c r="I344" s="1352"/>
      <c r="J344" s="1352"/>
      <c r="K344" s="469" t="s">
        <v>113</v>
      </c>
      <c r="L344" s="452" t="s">
        <v>114</v>
      </c>
      <c r="M344" s="452">
        <f>MAX(M312,M326)</f>
        <v>3.2300000000000002E-2</v>
      </c>
      <c r="N344" s="452">
        <f>N312+N326</f>
        <v>8.5499999999999993E-2</v>
      </c>
      <c r="O344" s="901"/>
      <c r="P344" s="901"/>
      <c r="Q344" s="150"/>
    </row>
    <row r="345" spans="1:19" s="148" customFormat="1" ht="15" customHeight="1" x14ac:dyDescent="0.25">
      <c r="A345" s="1352"/>
      <c r="B345" s="1352"/>
      <c r="C345" s="1352"/>
      <c r="D345" s="1352"/>
      <c r="E345" s="1352"/>
      <c r="F345" s="1352"/>
      <c r="G345" s="1352"/>
      <c r="H345" s="1352"/>
      <c r="I345" s="1352"/>
      <c r="J345" s="1352"/>
      <c r="K345" s="450" t="s">
        <v>115</v>
      </c>
      <c r="L345" s="452" t="s">
        <v>116</v>
      </c>
      <c r="M345" s="452">
        <f>MAX(M314,M317,M319,M333)</f>
        <v>0.26650000000000001</v>
      </c>
      <c r="N345" s="452">
        <f>N314+N317+N319+N333</f>
        <v>1.3784999999999998</v>
      </c>
      <c r="O345" s="901"/>
      <c r="P345" s="901"/>
      <c r="Q345" s="150"/>
    </row>
    <row r="346" spans="1:19" s="148" customFormat="1" ht="15" customHeight="1" x14ac:dyDescent="0.25">
      <c r="A346" s="1352"/>
      <c r="B346" s="1352"/>
      <c r="C346" s="1352"/>
      <c r="D346" s="1352"/>
      <c r="E346" s="1352"/>
      <c r="F346" s="1352"/>
      <c r="G346" s="1352"/>
      <c r="H346" s="1352"/>
      <c r="I346" s="1352"/>
      <c r="J346" s="1352"/>
      <c r="K346" s="469" t="s">
        <v>120</v>
      </c>
      <c r="L346" s="453" t="s">
        <v>121</v>
      </c>
      <c r="M346" s="452">
        <f>M315</f>
        <v>0.12920000000000001</v>
      </c>
      <c r="N346" s="452">
        <f>N315</f>
        <v>0.33339999999999997</v>
      </c>
      <c r="O346" s="901"/>
      <c r="P346" s="901"/>
      <c r="Q346" s="150"/>
    </row>
    <row r="347" spans="1:19" s="148" customFormat="1" ht="30" customHeight="1" x14ac:dyDescent="0.25">
      <c r="A347" s="1352"/>
      <c r="B347" s="1352"/>
      <c r="C347" s="1352"/>
      <c r="D347" s="1352"/>
      <c r="E347" s="1352"/>
      <c r="F347" s="1352"/>
      <c r="G347" s="1352"/>
      <c r="H347" s="1352"/>
      <c r="I347" s="1352"/>
      <c r="J347" s="1352"/>
      <c r="K347" s="469" t="s">
        <v>205</v>
      </c>
      <c r="L347" s="452" t="s">
        <v>59</v>
      </c>
      <c r="M347" s="452">
        <f>M311</f>
        <v>0.41670000000000001</v>
      </c>
      <c r="N347" s="452">
        <f>N311</f>
        <v>0.81899999999999995</v>
      </c>
      <c r="O347" s="901"/>
      <c r="P347" s="901"/>
      <c r="Q347" s="150"/>
    </row>
    <row r="348" spans="1:19" s="148" customFormat="1" ht="15" customHeight="1" x14ac:dyDescent="0.25">
      <c r="A348" s="1352"/>
      <c r="B348" s="1352"/>
      <c r="C348" s="1352"/>
      <c r="D348" s="1352"/>
      <c r="E348" s="1352"/>
      <c r="F348" s="1352"/>
      <c r="G348" s="1352"/>
      <c r="H348" s="1352"/>
      <c r="I348" s="1352"/>
      <c r="J348" s="1352"/>
      <c r="K348" s="454" t="s">
        <v>117</v>
      </c>
      <c r="L348" s="455" t="s">
        <v>118</v>
      </c>
      <c r="M348" s="456">
        <f>MAX(M316,M336)</f>
        <v>0.34720000000000001</v>
      </c>
      <c r="N348" s="456">
        <f>N316+N336</f>
        <v>1.1012</v>
      </c>
      <c r="O348" s="901">
        <f>SUM(M339:M348)</f>
        <v>2.3035000000000001</v>
      </c>
      <c r="P348" s="901">
        <f>SUM(N339:N348)</f>
        <v>7.5092099999999995</v>
      </c>
      <c r="Q348" s="150"/>
    </row>
    <row r="349" spans="1:19" ht="15" customHeight="1" x14ac:dyDescent="0.25">
      <c r="A349" s="1393" t="s">
        <v>233</v>
      </c>
      <c r="B349" s="1394"/>
      <c r="C349" s="1394"/>
      <c r="D349" s="1394"/>
      <c r="E349" s="1394"/>
      <c r="F349" s="1394"/>
      <c r="G349" s="1394"/>
      <c r="H349" s="1394"/>
      <c r="I349" s="1394"/>
      <c r="J349" s="1394"/>
      <c r="K349" s="1394"/>
      <c r="L349" s="1394"/>
      <c r="M349" s="1394"/>
      <c r="N349" s="1395"/>
      <c r="O349" s="908"/>
      <c r="P349" s="908"/>
    </row>
    <row r="350" spans="1:19" ht="30" customHeight="1" x14ac:dyDescent="0.25">
      <c r="A350" s="1396">
        <v>7039</v>
      </c>
      <c r="B350" s="491" t="s">
        <v>237</v>
      </c>
      <c r="C350" s="492" t="s">
        <v>101</v>
      </c>
      <c r="D350" s="376">
        <v>176.9</v>
      </c>
      <c r="E350" s="376" t="s">
        <v>122</v>
      </c>
      <c r="F350" s="376" t="s">
        <v>102</v>
      </c>
      <c r="G350" s="376">
        <v>28</v>
      </c>
      <c r="H350" s="376">
        <v>72</v>
      </c>
      <c r="I350" s="376">
        <v>60</v>
      </c>
      <c r="J350" s="376">
        <v>100</v>
      </c>
      <c r="K350" s="493" t="s">
        <v>205</v>
      </c>
      <c r="L350" s="376" t="s">
        <v>59</v>
      </c>
      <c r="M350" s="376">
        <f>ROUND(((E350*I350*J350* (G350+H350))/(1000000*3.6)),4)</f>
        <v>8.3299999999999999E-2</v>
      </c>
      <c r="N350" s="376">
        <f>ROUND(((D350*I350*J350*(G350+H350))/1000000000),4)</f>
        <v>0.1061</v>
      </c>
      <c r="O350" s="569"/>
      <c r="P350" s="569"/>
      <c r="Q350" s="50"/>
      <c r="R350" s="9"/>
      <c r="S350" s="9"/>
    </row>
    <row r="351" spans="1:19" ht="15" customHeight="1" x14ac:dyDescent="0.25">
      <c r="A351" s="1397"/>
      <c r="B351" s="547" t="s">
        <v>100</v>
      </c>
      <c r="C351" s="547" t="s">
        <v>101</v>
      </c>
      <c r="D351" s="548">
        <v>2</v>
      </c>
      <c r="E351" s="548" t="s">
        <v>122</v>
      </c>
      <c r="F351" s="548" t="s">
        <v>102</v>
      </c>
      <c r="G351" s="548">
        <v>28</v>
      </c>
      <c r="H351" s="548">
        <v>72</v>
      </c>
      <c r="I351" s="548">
        <v>45</v>
      </c>
      <c r="J351" s="549">
        <v>100</v>
      </c>
      <c r="K351" s="550" t="s">
        <v>103</v>
      </c>
      <c r="L351" s="315" t="s">
        <v>104</v>
      </c>
      <c r="M351" s="551">
        <f>ROUND(((E351*I351*J351* (G351+H351))/(1000000*3.6)),4)</f>
        <v>6.25E-2</v>
      </c>
      <c r="N351" s="548">
        <f>ROUND(((D351*I351*J351*(G351+H351))/1000000000),5)</f>
        <v>8.9999999999999998E-4</v>
      </c>
      <c r="O351" s="900"/>
      <c r="P351" s="900"/>
      <c r="S351" s="9"/>
    </row>
    <row r="352" spans="1:19" ht="15" customHeight="1" x14ac:dyDescent="0.25">
      <c r="A352" s="1397"/>
      <c r="B352" s="384" t="s">
        <v>105</v>
      </c>
      <c r="C352" s="385" t="s">
        <v>101</v>
      </c>
      <c r="D352" s="387">
        <v>47.2</v>
      </c>
      <c r="E352" s="387" t="s">
        <v>122</v>
      </c>
      <c r="F352" s="387" t="s">
        <v>102</v>
      </c>
      <c r="G352" s="387">
        <v>28</v>
      </c>
      <c r="H352" s="387">
        <v>72</v>
      </c>
      <c r="I352" s="387">
        <v>46</v>
      </c>
      <c r="J352" s="386">
        <v>28.7</v>
      </c>
      <c r="K352" s="494" t="s">
        <v>103</v>
      </c>
      <c r="L352" s="342" t="s">
        <v>104</v>
      </c>
      <c r="M352" s="387">
        <f>ROUND(((E352*I352*J352* (G352+H352))/(1000000*3.6)),4)</f>
        <v>1.83E-2</v>
      </c>
      <c r="N352" s="495">
        <f>ROUND(((D352*I352*J352*(G352+H352))/1000000000),5)</f>
        <v>6.2300000000000003E-3</v>
      </c>
      <c r="O352" s="900"/>
      <c r="P352" s="900"/>
    </row>
    <row r="353" spans="1:18" ht="15" customHeight="1" x14ac:dyDescent="0.25">
      <c r="A353" s="1397"/>
      <c r="B353" s="384"/>
      <c r="C353" s="384"/>
      <c r="D353" s="385"/>
      <c r="E353" s="385"/>
      <c r="F353" s="385"/>
      <c r="G353" s="385"/>
      <c r="H353" s="385"/>
      <c r="I353" s="385"/>
      <c r="J353" s="386">
        <v>35.65</v>
      </c>
      <c r="K353" s="389" t="s">
        <v>106</v>
      </c>
      <c r="L353" s="342" t="s">
        <v>107</v>
      </c>
      <c r="M353" s="387">
        <f>ROUND(((E352*I352*J353* (G352+H352))/(1000000*3.6)),4)</f>
        <v>2.2800000000000001E-2</v>
      </c>
      <c r="N353" s="495">
        <f>ROUND(((D352*I352*J353*(G352+H352))/1000000000),4)</f>
        <v>7.7000000000000002E-3</v>
      </c>
      <c r="O353" s="900"/>
      <c r="P353" s="900"/>
    </row>
    <row r="354" spans="1:18" ht="15" customHeight="1" x14ac:dyDescent="0.25">
      <c r="A354" s="1397"/>
      <c r="B354" s="496"/>
      <c r="C354" s="497"/>
      <c r="D354" s="395"/>
      <c r="E354" s="395"/>
      <c r="F354" s="395"/>
      <c r="G354" s="395"/>
      <c r="H354" s="395"/>
      <c r="I354" s="395"/>
      <c r="J354" s="498">
        <v>35.65</v>
      </c>
      <c r="K354" s="499" t="s">
        <v>108</v>
      </c>
      <c r="L354" s="397" t="s">
        <v>109</v>
      </c>
      <c r="M354" s="397">
        <f>ROUND(((E352*I352*J354* (G352+H352))/(1000000*3.6)),4)</f>
        <v>2.2800000000000001E-2</v>
      </c>
      <c r="N354" s="500">
        <f>ROUND(((D352*I352*J354*(G352+H352))/1000000000),4)</f>
        <v>7.7000000000000002E-3</v>
      </c>
      <c r="O354" s="900"/>
      <c r="P354" s="900"/>
    </row>
    <row r="355" spans="1:18" ht="30" customHeight="1" x14ac:dyDescent="0.25">
      <c r="A355" s="1397"/>
      <c r="B355" s="501" t="s">
        <v>211</v>
      </c>
      <c r="C355" s="502" t="s">
        <v>101</v>
      </c>
      <c r="D355" s="362">
        <v>9.1999999999999993</v>
      </c>
      <c r="E355" s="362" t="s">
        <v>122</v>
      </c>
      <c r="F355" s="315" t="s">
        <v>102</v>
      </c>
      <c r="G355" s="315">
        <v>28</v>
      </c>
      <c r="H355" s="315">
        <v>72</v>
      </c>
      <c r="I355" s="362">
        <v>45</v>
      </c>
      <c r="J355" s="362">
        <v>100</v>
      </c>
      <c r="K355" s="503" t="s">
        <v>205</v>
      </c>
      <c r="L355" s="315" t="s">
        <v>59</v>
      </c>
      <c r="M355" s="315">
        <f>ROUND(((E355*I355*J355* (G355+H355))/(1000000*3.6)),4)</f>
        <v>6.25E-2</v>
      </c>
      <c r="N355" s="315">
        <f>ROUND(((D355*I355*J355*(G355+H355))/1000000000),4)</f>
        <v>4.1000000000000003E-3</v>
      </c>
      <c r="O355" s="25"/>
      <c r="P355" s="25"/>
    </row>
    <row r="356" spans="1:18" ht="30" customHeight="1" x14ac:dyDescent="0.25">
      <c r="A356" s="1397"/>
      <c r="B356" s="504" t="s">
        <v>212</v>
      </c>
      <c r="C356" s="502" t="s">
        <v>101</v>
      </c>
      <c r="D356" s="362">
        <v>4.5999999999999996</v>
      </c>
      <c r="E356" s="362" t="s">
        <v>122</v>
      </c>
      <c r="F356" s="315" t="s">
        <v>102</v>
      </c>
      <c r="G356" s="315">
        <v>28</v>
      </c>
      <c r="H356" s="315">
        <v>72</v>
      </c>
      <c r="I356" s="362">
        <v>45</v>
      </c>
      <c r="J356" s="362">
        <v>100</v>
      </c>
      <c r="K356" s="503" t="s">
        <v>205</v>
      </c>
      <c r="L356" s="315" t="s">
        <v>59</v>
      </c>
      <c r="M356" s="315">
        <f>ROUND(((E356*I356*J356* (G356+H356))/(1000000*3.6)),4)</f>
        <v>6.25E-2</v>
      </c>
      <c r="N356" s="315">
        <f>ROUND(((D356*I356*J356*(G356+H356))/1000000000),4)</f>
        <v>2.0999999999999999E-3</v>
      </c>
      <c r="O356" s="25"/>
      <c r="P356" s="25"/>
    </row>
    <row r="357" spans="1:18" ht="15" customHeight="1" x14ac:dyDescent="0.25">
      <c r="A357" s="1397"/>
      <c r="B357" s="391" t="s">
        <v>206</v>
      </c>
      <c r="C357" s="378" t="s">
        <v>101</v>
      </c>
      <c r="D357" s="379">
        <v>61</v>
      </c>
      <c r="E357" s="382">
        <v>0.5</v>
      </c>
      <c r="F357" s="379" t="s">
        <v>102</v>
      </c>
      <c r="G357" s="379">
        <v>28</v>
      </c>
      <c r="H357" s="379">
        <v>72</v>
      </c>
      <c r="I357" s="382">
        <v>45</v>
      </c>
      <c r="J357" s="379">
        <v>50</v>
      </c>
      <c r="K357" s="364" t="s">
        <v>103</v>
      </c>
      <c r="L357" s="392" t="s">
        <v>104</v>
      </c>
      <c r="M357" s="382">
        <f>ROUND(((E357*I357*J357* (G357+H357))/(1000000*3.6)),4)</f>
        <v>3.1300000000000001E-2</v>
      </c>
      <c r="N357" s="379">
        <f>ROUND(((D357*I357*J357*(G357+H357))/1000000000),4)</f>
        <v>1.37E-2</v>
      </c>
      <c r="O357" s="900"/>
      <c r="P357" s="900"/>
    </row>
    <row r="358" spans="1:18" ht="15" customHeight="1" x14ac:dyDescent="0.25">
      <c r="A358" s="1397"/>
      <c r="B358" s="552" t="s">
        <v>127</v>
      </c>
      <c r="C358" s="394"/>
      <c r="D358" s="395"/>
      <c r="E358" s="396"/>
      <c r="F358" s="395"/>
      <c r="G358" s="396"/>
      <c r="H358" s="395"/>
      <c r="I358" s="396"/>
      <c r="J358" s="397">
        <v>50</v>
      </c>
      <c r="K358" s="398" t="s">
        <v>106</v>
      </c>
      <c r="L358" s="399">
        <v>2752</v>
      </c>
      <c r="M358" s="400">
        <f>ROUND(((E357*I357*J358* (G357+H357))/(1000000*3.6)),4)</f>
        <v>3.1300000000000001E-2</v>
      </c>
      <c r="N358" s="397">
        <f>ROUND(((D357*I357*J358*(G357+H357))/1000000000),4)</f>
        <v>1.37E-2</v>
      </c>
      <c r="O358" s="900"/>
      <c r="P358" s="900"/>
    </row>
    <row r="359" spans="1:18" ht="15" customHeight="1" x14ac:dyDescent="0.25">
      <c r="A359" s="1397"/>
      <c r="B359" s="377" t="s">
        <v>110</v>
      </c>
      <c r="C359" s="378" t="s">
        <v>101</v>
      </c>
      <c r="D359" s="379">
        <v>2.2000000000000002</v>
      </c>
      <c r="E359" s="379" t="s">
        <v>122</v>
      </c>
      <c r="F359" s="379" t="s">
        <v>102</v>
      </c>
      <c r="G359" s="379">
        <v>28</v>
      </c>
      <c r="H359" s="379">
        <v>72</v>
      </c>
      <c r="I359" s="379">
        <v>45</v>
      </c>
      <c r="J359" s="380">
        <v>50</v>
      </c>
      <c r="K359" s="381" t="s">
        <v>103</v>
      </c>
      <c r="L359" s="379" t="s">
        <v>104</v>
      </c>
      <c r="M359" s="382">
        <f>ROUND(((E359*I359*J359* (G359+H359))/(1000000*3.6)),4)</f>
        <v>3.1300000000000001E-2</v>
      </c>
      <c r="N359" s="379">
        <f>ROUND(((D359*I359*J359*(G359+H359))/1000000000),4)</f>
        <v>5.0000000000000001E-4</v>
      </c>
      <c r="O359" s="900"/>
      <c r="P359" s="900"/>
    </row>
    <row r="360" spans="1:18" ht="15" customHeight="1" x14ac:dyDescent="0.25">
      <c r="A360" s="1397"/>
      <c r="B360" s="383"/>
      <c r="C360" s="384"/>
      <c r="D360" s="385"/>
      <c r="E360" s="385"/>
      <c r="F360" s="385"/>
      <c r="G360" s="385"/>
      <c r="H360" s="385"/>
      <c r="I360" s="385"/>
      <c r="J360" s="386">
        <v>50</v>
      </c>
      <c r="K360" s="499" t="s">
        <v>106</v>
      </c>
      <c r="L360" s="341" t="s">
        <v>107</v>
      </c>
      <c r="M360" s="400">
        <f>ROUND(((E359*I359*J360* (G359+H359))/(1000000*3.6)),4)</f>
        <v>3.1300000000000001E-2</v>
      </c>
      <c r="N360" s="397">
        <f>ROUND(((D359*I359*J360*(G359+H359))/1000000000),4)</f>
        <v>5.0000000000000001E-4</v>
      </c>
      <c r="O360" s="900"/>
      <c r="P360" s="900"/>
    </row>
    <row r="361" spans="1:18" ht="15" customHeight="1" x14ac:dyDescent="0.25">
      <c r="A361" s="1397"/>
      <c r="B361" s="377" t="s">
        <v>123</v>
      </c>
      <c r="C361" s="378" t="s">
        <v>101</v>
      </c>
      <c r="D361" s="379">
        <v>40.1</v>
      </c>
      <c r="E361" s="379" t="s">
        <v>122</v>
      </c>
      <c r="F361" s="379" t="s">
        <v>102</v>
      </c>
      <c r="G361" s="379">
        <v>28</v>
      </c>
      <c r="H361" s="379">
        <v>72</v>
      </c>
      <c r="I361" s="379">
        <v>70</v>
      </c>
      <c r="J361" s="380">
        <v>20</v>
      </c>
      <c r="K361" s="381" t="s">
        <v>115</v>
      </c>
      <c r="L361" s="379">
        <v>1210</v>
      </c>
      <c r="M361" s="382">
        <f>ROUND(((E361*I361*J361* (G361+H361))/(1000000*3.6)),4)</f>
        <v>1.9400000000000001E-2</v>
      </c>
      <c r="N361" s="379">
        <f>ROUND(((D361*I361*J361*(G361+H361))/1000000000),4)</f>
        <v>5.5999999999999999E-3</v>
      </c>
      <c r="O361" s="900"/>
      <c r="P361" s="900"/>
    </row>
    <row r="362" spans="1:18" ht="15" customHeight="1" x14ac:dyDescent="0.25">
      <c r="A362" s="1397"/>
      <c r="B362" s="496" t="s">
        <v>333</v>
      </c>
      <c r="C362" s="497"/>
      <c r="D362" s="395"/>
      <c r="E362" s="395"/>
      <c r="F362" s="395"/>
      <c r="G362" s="395"/>
      <c r="H362" s="395"/>
      <c r="I362" s="395"/>
      <c r="J362" s="498">
        <v>80</v>
      </c>
      <c r="K362" s="369" t="s">
        <v>103</v>
      </c>
      <c r="L362" s="387" t="s">
        <v>104</v>
      </c>
      <c r="M362" s="400">
        <f>ROUND(((E361*I361*J362* (G361+H361))/(1000000*3.6)),4)</f>
        <v>7.7799999999999994E-2</v>
      </c>
      <c r="N362" s="397">
        <f>ROUND(((D361*I361*J362*(G361+H361))/1000000000),4)</f>
        <v>2.2499999999999999E-2</v>
      </c>
      <c r="O362" s="900"/>
      <c r="P362" s="900"/>
    </row>
    <row r="363" spans="1:18" ht="15" customHeight="1" x14ac:dyDescent="0.25">
      <c r="A363" s="1397"/>
      <c r="B363" s="1398" t="s">
        <v>239</v>
      </c>
      <c r="C363" s="360" t="s">
        <v>101</v>
      </c>
      <c r="D363" s="361">
        <v>0.1</v>
      </c>
      <c r="E363" s="362" t="s">
        <v>240</v>
      </c>
      <c r="F363" s="361" t="s">
        <v>102</v>
      </c>
      <c r="G363" s="362">
        <v>28</v>
      </c>
      <c r="H363" s="361">
        <v>72</v>
      </c>
      <c r="I363" s="363">
        <v>38</v>
      </c>
      <c r="J363" s="363">
        <v>30</v>
      </c>
      <c r="K363" s="388" t="s">
        <v>113</v>
      </c>
      <c r="L363" s="362" t="s">
        <v>114</v>
      </c>
      <c r="M363" s="365">
        <f>ROUND(((E363*I363*J363* (G363+H363))/(1000000*3.6)),4)</f>
        <v>3.2000000000000002E-3</v>
      </c>
      <c r="N363" s="365">
        <f>ROUND(((D363*I363*J363*(G363+H363))/1000000000),6)</f>
        <v>1.1E-5</v>
      </c>
      <c r="O363" s="25"/>
      <c r="P363" s="25"/>
      <c r="Q363" s="50"/>
      <c r="R363" s="9"/>
    </row>
    <row r="364" spans="1:18" ht="15" customHeight="1" x14ac:dyDescent="0.25">
      <c r="A364" s="1397"/>
      <c r="B364" s="1399"/>
      <c r="C364" s="367"/>
      <c r="D364" s="53"/>
      <c r="E364" s="342"/>
      <c r="F364" s="53"/>
      <c r="G364" s="342"/>
      <c r="H364" s="53"/>
      <c r="I364" s="368"/>
      <c r="J364" s="368">
        <v>40</v>
      </c>
      <c r="K364" s="389" t="s">
        <v>103</v>
      </c>
      <c r="L364" s="387" t="s">
        <v>104</v>
      </c>
      <c r="M364" s="370">
        <f>ROUND(((E363*I363*J363* (G363+H363))/(1000000*3.6)),4)</f>
        <v>3.2000000000000002E-3</v>
      </c>
      <c r="N364" s="370">
        <f>ROUND(((D363*I363*J364*(G363+H363))/1000000000),6)</f>
        <v>1.5E-5</v>
      </c>
      <c r="O364" s="25"/>
      <c r="P364" s="25"/>
      <c r="Q364" s="50"/>
      <c r="R364" s="9"/>
    </row>
    <row r="365" spans="1:18" ht="15" customHeight="1" x14ac:dyDescent="0.25">
      <c r="A365" s="1397"/>
      <c r="B365" s="1400"/>
      <c r="C365" s="367"/>
      <c r="D365" s="53"/>
      <c r="E365" s="342"/>
      <c r="F365" s="53"/>
      <c r="G365" s="342"/>
      <c r="H365" s="53"/>
      <c r="I365" s="368"/>
      <c r="J365" s="368">
        <v>30</v>
      </c>
      <c r="K365" s="499" t="s">
        <v>415</v>
      </c>
      <c r="L365" s="341" t="s">
        <v>416</v>
      </c>
      <c r="M365" s="370">
        <f>ROUND(((E363*I363*J365* (G363+H363))/(1000000*3.6)),4)</f>
        <v>3.2000000000000002E-3</v>
      </c>
      <c r="N365" s="370">
        <f>ROUND(((D363*I363*J365*(G363+H363))/1000000000),5)</f>
        <v>1.0000000000000001E-5</v>
      </c>
      <c r="O365" s="25"/>
      <c r="P365" s="25"/>
      <c r="Q365" s="50"/>
      <c r="R365" s="9"/>
    </row>
    <row r="366" spans="1:18" ht="15" customHeight="1" x14ac:dyDescent="0.25">
      <c r="A366" s="1392" t="s">
        <v>414</v>
      </c>
      <c r="B366" s="1392"/>
      <c r="C366" s="1392"/>
      <c r="D366" s="1392"/>
      <c r="E366" s="1392"/>
      <c r="F366" s="1392"/>
      <c r="G366" s="1392"/>
      <c r="H366" s="1392"/>
      <c r="I366" s="1392"/>
      <c r="J366" s="1392"/>
      <c r="K366" s="401" t="s">
        <v>106</v>
      </c>
      <c r="L366" s="402" t="s">
        <v>107</v>
      </c>
      <c r="M366" s="403">
        <f>MAX(M353,M358,M360)</f>
        <v>3.1300000000000001E-2</v>
      </c>
      <c r="N366" s="403">
        <f>N353+N358+N360</f>
        <v>2.1900000000000003E-2</v>
      </c>
      <c r="O366" s="900"/>
      <c r="P366" s="900"/>
    </row>
    <row r="367" spans="1:18" ht="15" customHeight="1" x14ac:dyDescent="0.25">
      <c r="A367" s="1392"/>
      <c r="B367" s="1392"/>
      <c r="C367" s="1392"/>
      <c r="D367" s="1392"/>
      <c r="E367" s="1392"/>
      <c r="F367" s="1392"/>
      <c r="G367" s="1392"/>
      <c r="H367" s="1392"/>
      <c r="I367" s="1392"/>
      <c r="J367" s="1392"/>
      <c r="K367" s="404" t="s">
        <v>103</v>
      </c>
      <c r="L367" s="405" t="s">
        <v>104</v>
      </c>
      <c r="M367" s="405">
        <f>MAX(M351,M352,M357,M359,M362,M364)</f>
        <v>7.7799999999999994E-2</v>
      </c>
      <c r="N367" s="405">
        <f>N351+N352+N357+N359+N362+N364</f>
        <v>4.3845000000000002E-2</v>
      </c>
      <c r="O367" s="25"/>
      <c r="P367" s="25"/>
    </row>
    <row r="368" spans="1:18" ht="15" customHeight="1" x14ac:dyDescent="0.25">
      <c r="A368" s="1392"/>
      <c r="B368" s="1392"/>
      <c r="C368" s="1392"/>
      <c r="D368" s="1392"/>
      <c r="E368" s="1392"/>
      <c r="F368" s="1392"/>
      <c r="G368" s="1392"/>
      <c r="H368" s="1392"/>
      <c r="I368" s="1392"/>
      <c r="J368" s="1392"/>
      <c r="K368" s="406" t="s">
        <v>108</v>
      </c>
      <c r="L368" s="407" t="s">
        <v>109</v>
      </c>
      <c r="M368" s="405">
        <f>M354</f>
        <v>2.2800000000000001E-2</v>
      </c>
      <c r="N368" s="405">
        <f>N354</f>
        <v>7.7000000000000002E-3</v>
      </c>
      <c r="O368" s="25"/>
      <c r="P368" s="25"/>
    </row>
    <row r="369" spans="1:19" ht="15" customHeight="1" x14ac:dyDescent="0.25">
      <c r="A369" s="1392"/>
      <c r="B369" s="1392"/>
      <c r="C369" s="1392"/>
      <c r="D369" s="1392"/>
      <c r="E369" s="1392"/>
      <c r="F369" s="1392"/>
      <c r="G369" s="1392"/>
      <c r="H369" s="1392"/>
      <c r="I369" s="1392"/>
      <c r="J369" s="1392"/>
      <c r="K369" s="404" t="s">
        <v>113</v>
      </c>
      <c r="L369" s="405" t="s">
        <v>114</v>
      </c>
      <c r="M369" s="405">
        <f>M363</f>
        <v>3.2000000000000002E-3</v>
      </c>
      <c r="N369" s="405">
        <f>N363</f>
        <v>1.1E-5</v>
      </c>
      <c r="O369" s="25"/>
      <c r="P369" s="25"/>
    </row>
    <row r="370" spans="1:19" ht="15" customHeight="1" x14ac:dyDescent="0.25">
      <c r="A370" s="1392"/>
      <c r="B370" s="1392"/>
      <c r="C370" s="1392"/>
      <c r="D370" s="1392"/>
      <c r="E370" s="1392"/>
      <c r="F370" s="1392"/>
      <c r="G370" s="1392"/>
      <c r="H370" s="1392"/>
      <c r="I370" s="1392"/>
      <c r="J370" s="1392"/>
      <c r="K370" s="406" t="s">
        <v>115</v>
      </c>
      <c r="L370" s="405" t="s">
        <v>116</v>
      </c>
      <c r="M370" s="405">
        <f>M361</f>
        <v>1.9400000000000001E-2</v>
      </c>
      <c r="N370" s="405">
        <f>N361</f>
        <v>5.5999999999999999E-3</v>
      </c>
      <c r="O370" s="25"/>
      <c r="P370" s="25"/>
    </row>
    <row r="371" spans="1:19" ht="30" customHeight="1" x14ac:dyDescent="0.25">
      <c r="A371" s="1392"/>
      <c r="B371" s="1392"/>
      <c r="C371" s="1392"/>
      <c r="D371" s="1392"/>
      <c r="E371" s="1392"/>
      <c r="F371" s="1392"/>
      <c r="G371" s="1392"/>
      <c r="H371" s="1392"/>
      <c r="I371" s="1392"/>
      <c r="J371" s="1392"/>
      <c r="K371" s="404" t="s">
        <v>205</v>
      </c>
      <c r="L371" s="405" t="s">
        <v>59</v>
      </c>
      <c r="M371" s="405">
        <f>MAX(M350,M355,M356)</f>
        <v>8.3299999999999999E-2</v>
      </c>
      <c r="N371" s="405">
        <f>N350+N355+N356</f>
        <v>0.11230000000000001</v>
      </c>
      <c r="O371" s="25"/>
      <c r="P371" s="25"/>
    </row>
    <row r="372" spans="1:19" ht="15" customHeight="1" x14ac:dyDescent="0.25">
      <c r="A372" s="1392"/>
      <c r="B372" s="1392"/>
      <c r="C372" s="1392"/>
      <c r="D372" s="1392"/>
      <c r="E372" s="1392"/>
      <c r="F372" s="1392"/>
      <c r="G372" s="1392"/>
      <c r="H372" s="1392"/>
      <c r="I372" s="1392"/>
      <c r="J372" s="1392"/>
      <c r="K372" s="553" t="s">
        <v>415</v>
      </c>
      <c r="L372" s="411" t="s">
        <v>416</v>
      </c>
      <c r="M372" s="411">
        <f>M365</f>
        <v>3.2000000000000002E-3</v>
      </c>
      <c r="N372" s="411">
        <f>N365</f>
        <v>1.0000000000000001E-5</v>
      </c>
      <c r="O372" s="25">
        <f>SUM(M366:M372)</f>
        <v>0.24100000000000002</v>
      </c>
      <c r="P372" s="25">
        <f>SUM(N366:N372)</f>
        <v>0.19136600000000001</v>
      </c>
    </row>
    <row r="373" spans="1:19" ht="15" customHeight="1" x14ac:dyDescent="0.25">
      <c r="A373" s="1393" t="s">
        <v>257</v>
      </c>
      <c r="B373" s="1394"/>
      <c r="C373" s="1394"/>
      <c r="D373" s="1394"/>
      <c r="E373" s="1394"/>
      <c r="F373" s="1394"/>
      <c r="G373" s="1394"/>
      <c r="H373" s="1394"/>
      <c r="I373" s="1394"/>
      <c r="J373" s="1394"/>
      <c r="K373" s="1394"/>
      <c r="L373" s="1394"/>
      <c r="M373" s="1394"/>
      <c r="N373" s="1395"/>
      <c r="O373" s="908"/>
      <c r="P373" s="908"/>
      <c r="Q373" s="49"/>
      <c r="R373" s="51"/>
    </row>
    <row r="374" spans="1:19" ht="19.5" customHeight="1" x14ac:dyDescent="0.25">
      <c r="A374" s="1397">
        <v>7062</v>
      </c>
      <c r="B374" s="547" t="s">
        <v>100</v>
      </c>
      <c r="C374" s="547" t="s">
        <v>101</v>
      </c>
      <c r="D374" s="548">
        <v>165</v>
      </c>
      <c r="E374" s="548" t="s">
        <v>122</v>
      </c>
      <c r="F374" s="548" t="s">
        <v>102</v>
      </c>
      <c r="G374" s="548">
        <v>28</v>
      </c>
      <c r="H374" s="548">
        <v>72</v>
      </c>
      <c r="I374" s="548">
        <v>45</v>
      </c>
      <c r="J374" s="549">
        <v>100</v>
      </c>
      <c r="K374" s="550" t="s">
        <v>103</v>
      </c>
      <c r="L374" s="315" t="s">
        <v>104</v>
      </c>
      <c r="M374" s="551">
        <f>ROUND(((E374*I374*J374* (G374+H374))/(1000000*3.6)),4)</f>
        <v>6.25E-2</v>
      </c>
      <c r="N374" s="548">
        <f>ROUND(((D374*I374*J374*(G374+H374))/1000000000),5)</f>
        <v>7.4249999999999997E-2</v>
      </c>
      <c r="O374" s="900"/>
      <c r="P374" s="900"/>
      <c r="Q374" s="50"/>
      <c r="R374" s="9"/>
    </row>
    <row r="375" spans="1:19" ht="30" customHeight="1" x14ac:dyDescent="0.25">
      <c r="A375" s="1397"/>
      <c r="B375" s="501" t="s">
        <v>211</v>
      </c>
      <c r="C375" s="502" t="s">
        <v>101</v>
      </c>
      <c r="D375" s="362">
        <v>189.6</v>
      </c>
      <c r="E375" s="362" t="s">
        <v>122</v>
      </c>
      <c r="F375" s="315" t="s">
        <v>102</v>
      </c>
      <c r="G375" s="315">
        <v>28</v>
      </c>
      <c r="H375" s="315">
        <v>72</v>
      </c>
      <c r="I375" s="362">
        <v>45</v>
      </c>
      <c r="J375" s="362">
        <v>100</v>
      </c>
      <c r="K375" s="503" t="s">
        <v>205</v>
      </c>
      <c r="L375" s="315" t="s">
        <v>59</v>
      </c>
      <c r="M375" s="315">
        <f>ROUND(((E375*I375*J375* (G375+H375))/(1000000*3.6)),4)</f>
        <v>6.25E-2</v>
      </c>
      <c r="N375" s="315">
        <f>ROUND(((D375*I375*J375*(G375+H375))/1000000000),4)</f>
        <v>8.5300000000000001E-2</v>
      </c>
      <c r="O375" s="25"/>
      <c r="P375" s="25"/>
      <c r="Q375" s="50"/>
      <c r="R375" s="9"/>
      <c r="S375" s="9"/>
    </row>
    <row r="376" spans="1:19" ht="15" customHeight="1" x14ac:dyDescent="0.25">
      <c r="A376" s="1397"/>
      <c r="B376" s="377" t="s">
        <v>110</v>
      </c>
      <c r="C376" s="378" t="s">
        <v>101</v>
      </c>
      <c r="D376" s="379">
        <v>106</v>
      </c>
      <c r="E376" s="379" t="s">
        <v>122</v>
      </c>
      <c r="F376" s="379" t="s">
        <v>102</v>
      </c>
      <c r="G376" s="379">
        <v>28</v>
      </c>
      <c r="H376" s="379">
        <v>72</v>
      </c>
      <c r="I376" s="379">
        <v>45</v>
      </c>
      <c r="J376" s="380">
        <v>50</v>
      </c>
      <c r="K376" s="381" t="s">
        <v>103</v>
      </c>
      <c r="L376" s="379" t="s">
        <v>104</v>
      </c>
      <c r="M376" s="382">
        <f>ROUND(((E376*I376*J376* (G376+H376))/(1000000*3.6)),4)</f>
        <v>3.1300000000000001E-2</v>
      </c>
      <c r="N376" s="379">
        <f>ROUND(((D376*I376*J376*(G376+H376))/1000000000),4)</f>
        <v>2.3900000000000001E-2</v>
      </c>
      <c r="O376" s="900"/>
      <c r="P376" s="900"/>
      <c r="Q376" s="50"/>
      <c r="R376" s="9"/>
    </row>
    <row r="377" spans="1:19" ht="15" customHeight="1" x14ac:dyDescent="0.25">
      <c r="A377" s="1397"/>
      <c r="B377" s="383"/>
      <c r="C377" s="384"/>
      <c r="D377" s="385"/>
      <c r="E377" s="385"/>
      <c r="F377" s="385"/>
      <c r="G377" s="385"/>
      <c r="H377" s="385"/>
      <c r="I377" s="385"/>
      <c r="J377" s="386">
        <v>50</v>
      </c>
      <c r="K377" s="499" t="s">
        <v>106</v>
      </c>
      <c r="L377" s="341" t="s">
        <v>107</v>
      </c>
      <c r="M377" s="400">
        <f>ROUND(((E376*I376*J377* (G376+H376))/(1000000*3.6)),4)</f>
        <v>3.1300000000000001E-2</v>
      </c>
      <c r="N377" s="397">
        <f>ROUND(((D376*I376*J377*(G376+H376))/1000000000),4)</f>
        <v>2.3900000000000001E-2</v>
      </c>
      <c r="O377" s="900"/>
      <c r="P377" s="900"/>
      <c r="Q377" s="50"/>
      <c r="R377" s="9"/>
    </row>
    <row r="378" spans="1:19" ht="15" customHeight="1" x14ac:dyDescent="0.25">
      <c r="A378" s="1392" t="s">
        <v>450</v>
      </c>
      <c r="B378" s="1392"/>
      <c r="C378" s="1392"/>
      <c r="D378" s="1392"/>
      <c r="E378" s="1392"/>
      <c r="F378" s="1392"/>
      <c r="G378" s="1392"/>
      <c r="H378" s="1392"/>
      <c r="I378" s="1392"/>
      <c r="J378" s="1392"/>
      <c r="K378" s="401" t="s">
        <v>106</v>
      </c>
      <c r="L378" s="402" t="s">
        <v>107</v>
      </c>
      <c r="M378" s="403">
        <f>M377</f>
        <v>3.1300000000000001E-2</v>
      </c>
      <c r="N378" s="403">
        <f>N377</f>
        <v>2.3900000000000001E-2</v>
      </c>
      <c r="O378" s="900"/>
      <c r="P378" s="900"/>
      <c r="Q378" s="50"/>
      <c r="R378" s="9"/>
    </row>
    <row r="379" spans="1:19" ht="15" customHeight="1" x14ac:dyDescent="0.25">
      <c r="A379" s="1392"/>
      <c r="B379" s="1392"/>
      <c r="C379" s="1392"/>
      <c r="D379" s="1392"/>
      <c r="E379" s="1392"/>
      <c r="F379" s="1392"/>
      <c r="G379" s="1392"/>
      <c r="H379" s="1392"/>
      <c r="I379" s="1392"/>
      <c r="J379" s="1392"/>
      <c r="K379" s="404" t="s">
        <v>103</v>
      </c>
      <c r="L379" s="405" t="s">
        <v>104</v>
      </c>
      <c r="M379" s="405">
        <f>MAX(M374,M376)</f>
        <v>6.25E-2</v>
      </c>
      <c r="N379" s="405">
        <f>N374+N376</f>
        <v>9.8150000000000001E-2</v>
      </c>
      <c r="O379" s="25"/>
      <c r="P379" s="25"/>
      <c r="Q379" s="50"/>
      <c r="R379" s="9"/>
    </row>
    <row r="380" spans="1:19" ht="30" customHeight="1" x14ac:dyDescent="0.25">
      <c r="A380" s="1392"/>
      <c r="B380" s="1392"/>
      <c r="C380" s="1392"/>
      <c r="D380" s="1392"/>
      <c r="E380" s="1392"/>
      <c r="F380" s="1392"/>
      <c r="G380" s="1392"/>
      <c r="H380" s="1392"/>
      <c r="I380" s="1392"/>
      <c r="J380" s="1392"/>
      <c r="K380" s="554" t="s">
        <v>205</v>
      </c>
      <c r="L380" s="411" t="s">
        <v>59</v>
      </c>
      <c r="M380" s="411">
        <f>M375</f>
        <v>6.25E-2</v>
      </c>
      <c r="N380" s="411">
        <f>N375</f>
        <v>8.5300000000000001E-2</v>
      </c>
      <c r="O380" s="25">
        <f>SUM(M378:M380)</f>
        <v>0.15629999999999999</v>
      </c>
      <c r="P380" s="25">
        <f>SUM(N378:N380)</f>
        <v>0.20735000000000001</v>
      </c>
      <c r="Q380" s="50"/>
      <c r="R380" s="9"/>
    </row>
    <row r="381" spans="1:19" ht="15" customHeight="1" x14ac:dyDescent="0.25">
      <c r="A381" s="1353" t="s">
        <v>261</v>
      </c>
      <c r="B381" s="1358"/>
      <c r="C381" s="1358"/>
      <c r="D381" s="1358"/>
      <c r="E381" s="1358"/>
      <c r="F381" s="1358"/>
      <c r="G381" s="1358"/>
      <c r="H381" s="1358"/>
      <c r="I381" s="1358"/>
      <c r="J381" s="1358"/>
      <c r="K381" s="1358"/>
      <c r="L381" s="1358"/>
      <c r="M381" s="1358"/>
      <c r="N381" s="1359"/>
      <c r="O381" s="908"/>
      <c r="P381" s="908"/>
      <c r="Q381" s="49"/>
      <c r="R381" s="51"/>
    </row>
    <row r="382" spans="1:19" ht="15" customHeight="1" x14ac:dyDescent="0.25">
      <c r="A382" s="1360">
        <v>7074</v>
      </c>
      <c r="B382" s="1362" t="s">
        <v>239</v>
      </c>
      <c r="C382" s="432" t="s">
        <v>101</v>
      </c>
      <c r="D382" s="433">
        <v>11.2</v>
      </c>
      <c r="E382" s="12" t="s">
        <v>240</v>
      </c>
      <c r="F382" s="433" t="s">
        <v>102</v>
      </c>
      <c r="G382" s="12">
        <v>28</v>
      </c>
      <c r="H382" s="433">
        <v>72</v>
      </c>
      <c r="I382" s="345">
        <v>38</v>
      </c>
      <c r="J382" s="345">
        <v>30</v>
      </c>
      <c r="K382" s="414" t="s">
        <v>113</v>
      </c>
      <c r="L382" s="12" t="s">
        <v>114</v>
      </c>
      <c r="M382" s="12">
        <f>ROUND(((E382*I382*J382* (G382+H382))/(1000000*3.6)),4)</f>
        <v>3.2000000000000002E-3</v>
      </c>
      <c r="N382" s="435">
        <f>ROUND(((D382*I382*J382*(G382+H382))/1000000000),4)</f>
        <v>1.2999999999999999E-3</v>
      </c>
      <c r="O382" s="25"/>
      <c r="P382" s="25"/>
      <c r="Q382" s="49"/>
      <c r="R382" s="51"/>
    </row>
    <row r="383" spans="1:19" ht="15" customHeight="1" x14ac:dyDescent="0.25">
      <c r="A383" s="1361"/>
      <c r="B383" s="1363"/>
      <c r="C383" s="437"/>
      <c r="D383" s="153"/>
      <c r="E383" s="339"/>
      <c r="F383" s="153"/>
      <c r="G383" s="339"/>
      <c r="H383" s="153"/>
      <c r="I383" s="235"/>
      <c r="J383" s="235">
        <v>40</v>
      </c>
      <c r="K383" s="420" t="s">
        <v>103</v>
      </c>
      <c r="L383" s="422" t="s">
        <v>104</v>
      </c>
      <c r="M383" s="339">
        <f>ROUND(((E382*I382*J382* (G382+H382))/(1000000*3.6)),4)</f>
        <v>3.2000000000000002E-3</v>
      </c>
      <c r="N383" s="439">
        <f>ROUND(((D382*I382*J383*(G382+H382))/1000000000),4)</f>
        <v>1.6999999999999999E-3</v>
      </c>
      <c r="O383" s="25"/>
      <c r="P383" s="25"/>
      <c r="Q383" s="49"/>
      <c r="R383" s="51"/>
    </row>
    <row r="384" spans="1:19" ht="15" customHeight="1" x14ac:dyDescent="0.25">
      <c r="A384" s="1361"/>
      <c r="B384" s="1364"/>
      <c r="C384" s="437"/>
      <c r="D384" s="153"/>
      <c r="E384" s="339"/>
      <c r="F384" s="153"/>
      <c r="G384" s="339"/>
      <c r="H384" s="153"/>
      <c r="I384" s="235"/>
      <c r="J384" s="235">
        <v>30</v>
      </c>
      <c r="K384" s="428" t="s">
        <v>415</v>
      </c>
      <c r="L384" s="340" t="s">
        <v>416</v>
      </c>
      <c r="M384" s="339">
        <f>ROUND(((E382*I382*J384* (G382+H382))/(1000000*3.6)),4)</f>
        <v>3.2000000000000002E-3</v>
      </c>
      <c r="N384" s="439">
        <f>ROUND(((D382*I382*J384*(G382+H382))/1000000000),4)</f>
        <v>1.2999999999999999E-3</v>
      </c>
      <c r="O384" s="25"/>
      <c r="P384" s="25"/>
      <c r="Q384" s="49"/>
      <c r="R384" s="51"/>
    </row>
    <row r="385" spans="1:19" ht="15" customHeight="1" x14ac:dyDescent="0.25">
      <c r="A385" s="1361"/>
      <c r="B385" s="487" t="s">
        <v>123</v>
      </c>
      <c r="C385" s="413" t="s">
        <v>101</v>
      </c>
      <c r="D385" s="13">
        <v>189.8</v>
      </c>
      <c r="E385" s="13" t="s">
        <v>90</v>
      </c>
      <c r="F385" s="13" t="s">
        <v>102</v>
      </c>
      <c r="G385" s="13">
        <v>28</v>
      </c>
      <c r="H385" s="13">
        <v>72</v>
      </c>
      <c r="I385" s="13">
        <v>70</v>
      </c>
      <c r="J385" s="227">
        <v>20</v>
      </c>
      <c r="K385" s="434" t="s">
        <v>115</v>
      </c>
      <c r="L385" s="13">
        <v>1210</v>
      </c>
      <c r="M385" s="415">
        <f>ROUND(((E385*I385*J385* (G385+H385))/(1000000*3.6)),4)</f>
        <v>3.8899999999999997E-2</v>
      </c>
      <c r="N385" s="13">
        <f>ROUND(((D385*I385*J385*(G385+H385))/1000000000),4)</f>
        <v>2.6599999999999999E-2</v>
      </c>
      <c r="O385" s="900"/>
      <c r="P385" s="900"/>
    </row>
    <row r="386" spans="1:19" ht="15" customHeight="1" x14ac:dyDescent="0.25">
      <c r="A386" s="1377"/>
      <c r="B386" s="481" t="s">
        <v>333</v>
      </c>
      <c r="C386" s="425"/>
      <c r="D386" s="426"/>
      <c r="E386" s="426"/>
      <c r="F386" s="426"/>
      <c r="G386" s="426"/>
      <c r="H386" s="426"/>
      <c r="I386" s="426"/>
      <c r="J386" s="427">
        <v>80</v>
      </c>
      <c r="K386" s="443" t="s">
        <v>103</v>
      </c>
      <c r="L386" s="429" t="s">
        <v>104</v>
      </c>
      <c r="M386" s="430">
        <f>ROUND(((E385*I385*J386* (G385+H385))/(1000000*3.6)),4)</f>
        <v>0.15559999999999999</v>
      </c>
      <c r="N386" s="429">
        <f>ROUND(((D385*I385*J386*(G385+H385))/1000000000),4)</f>
        <v>0.10630000000000001</v>
      </c>
      <c r="O386" s="900"/>
      <c r="P386" s="900"/>
    </row>
    <row r="387" spans="1:19" ht="15" customHeight="1" x14ac:dyDescent="0.25">
      <c r="A387" s="1352" t="s">
        <v>466</v>
      </c>
      <c r="B387" s="1352"/>
      <c r="C387" s="1352"/>
      <c r="D387" s="1352"/>
      <c r="E387" s="1352"/>
      <c r="F387" s="1352"/>
      <c r="G387" s="1352"/>
      <c r="H387" s="1352"/>
      <c r="I387" s="1352"/>
      <c r="J387" s="1352"/>
      <c r="K387" s="447" t="s">
        <v>103</v>
      </c>
      <c r="L387" s="448" t="s">
        <v>104</v>
      </c>
      <c r="M387" s="448">
        <f>MAX(M383,M386)</f>
        <v>0.15559999999999999</v>
      </c>
      <c r="N387" s="448">
        <f>N383+N386</f>
        <v>0.108</v>
      </c>
      <c r="O387" s="25"/>
      <c r="P387" s="25"/>
      <c r="Q387" s="49"/>
      <c r="R387" s="51"/>
    </row>
    <row r="388" spans="1:19" ht="15" customHeight="1" x14ac:dyDescent="0.25">
      <c r="A388" s="1352"/>
      <c r="B388" s="1352"/>
      <c r="C388" s="1352"/>
      <c r="D388" s="1352"/>
      <c r="E388" s="1352"/>
      <c r="F388" s="1352"/>
      <c r="G388" s="1352"/>
      <c r="H388" s="1352"/>
      <c r="I388" s="1352"/>
      <c r="J388" s="1352"/>
      <c r="K388" s="469" t="s">
        <v>113</v>
      </c>
      <c r="L388" s="452" t="s">
        <v>114</v>
      </c>
      <c r="M388" s="452">
        <f>M382</f>
        <v>3.2000000000000002E-3</v>
      </c>
      <c r="N388" s="452">
        <f>N382</f>
        <v>1.2999999999999999E-3</v>
      </c>
      <c r="O388" s="25"/>
      <c r="P388" s="25"/>
      <c r="Q388" s="49"/>
      <c r="R388" s="51"/>
    </row>
    <row r="389" spans="1:19" ht="15" customHeight="1" x14ac:dyDescent="0.25">
      <c r="A389" s="1352"/>
      <c r="B389" s="1352"/>
      <c r="C389" s="1352"/>
      <c r="D389" s="1352"/>
      <c r="E389" s="1352"/>
      <c r="F389" s="1352"/>
      <c r="G389" s="1352"/>
      <c r="H389" s="1352"/>
      <c r="I389" s="1352"/>
      <c r="J389" s="1352"/>
      <c r="K389" s="450" t="s">
        <v>115</v>
      </c>
      <c r="L389" s="452" t="s">
        <v>116</v>
      </c>
      <c r="M389" s="452">
        <f>M385</f>
        <v>3.8899999999999997E-2</v>
      </c>
      <c r="N389" s="452">
        <f>N385</f>
        <v>2.6599999999999999E-2</v>
      </c>
      <c r="O389" s="25"/>
      <c r="P389" s="25"/>
      <c r="Q389" s="49"/>
      <c r="R389" s="51"/>
    </row>
    <row r="390" spans="1:19" ht="15" customHeight="1" x14ac:dyDescent="0.25">
      <c r="A390" s="1352"/>
      <c r="B390" s="1352"/>
      <c r="C390" s="1352"/>
      <c r="D390" s="1352"/>
      <c r="E390" s="1352"/>
      <c r="F390" s="1352"/>
      <c r="G390" s="1352"/>
      <c r="H390" s="1352"/>
      <c r="I390" s="1352"/>
      <c r="J390" s="1352"/>
      <c r="K390" s="555" t="s">
        <v>415</v>
      </c>
      <c r="L390" s="456" t="s">
        <v>416</v>
      </c>
      <c r="M390" s="456">
        <f>M384</f>
        <v>3.2000000000000002E-3</v>
      </c>
      <c r="N390" s="456">
        <f>N384</f>
        <v>1.2999999999999999E-3</v>
      </c>
      <c r="O390" s="25">
        <f>SUM(M387:M390)</f>
        <v>0.2009</v>
      </c>
      <c r="P390" s="25">
        <f>SUM(N387:N390)</f>
        <v>0.13719999999999999</v>
      </c>
      <c r="Q390" s="49"/>
      <c r="R390" s="51"/>
    </row>
    <row r="391" spans="1:19" ht="15" customHeight="1" x14ac:dyDescent="0.25">
      <c r="A391" s="1353" t="s">
        <v>276</v>
      </c>
      <c r="B391" s="1358"/>
      <c r="C391" s="1358"/>
      <c r="D391" s="1358"/>
      <c r="E391" s="1358"/>
      <c r="F391" s="1358"/>
      <c r="G391" s="1358"/>
      <c r="H391" s="1358"/>
      <c r="I391" s="1358"/>
      <c r="J391" s="1358"/>
      <c r="K391" s="1358"/>
      <c r="L391" s="1358"/>
      <c r="M391" s="1358"/>
      <c r="N391" s="1359"/>
      <c r="O391" s="908"/>
      <c r="P391" s="908"/>
    </row>
    <row r="392" spans="1:19" ht="30" customHeight="1" x14ac:dyDescent="0.25">
      <c r="A392" s="1360" t="s">
        <v>485</v>
      </c>
      <c r="B392" s="457" t="s">
        <v>211</v>
      </c>
      <c r="C392" s="458" t="s">
        <v>101</v>
      </c>
      <c r="D392" s="12">
        <v>230</v>
      </c>
      <c r="E392" s="12" t="s">
        <v>122</v>
      </c>
      <c r="F392" s="183" t="s">
        <v>102</v>
      </c>
      <c r="G392" s="183">
        <v>28</v>
      </c>
      <c r="H392" s="183">
        <v>72</v>
      </c>
      <c r="I392" s="12">
        <v>45</v>
      </c>
      <c r="J392" s="12">
        <v>100</v>
      </c>
      <c r="K392" s="459" t="s">
        <v>205</v>
      </c>
      <c r="L392" s="183" t="s">
        <v>59</v>
      </c>
      <c r="M392" s="183">
        <f>ROUND(((E392*I392*J392* (G392+H392))/(1000000*3.6)),4)</f>
        <v>6.25E-2</v>
      </c>
      <c r="N392" s="183">
        <f>ROUND(((D392*I392*J392*(G392+H392))/1000000000),4)</f>
        <v>0.10349999999999999</v>
      </c>
      <c r="O392" s="25"/>
      <c r="P392" s="25"/>
      <c r="Q392" s="50"/>
      <c r="R392" s="9"/>
    </row>
    <row r="393" spans="1:19" ht="30" customHeight="1" x14ac:dyDescent="0.25">
      <c r="A393" s="1377"/>
      <c r="B393" s="460" t="s">
        <v>212</v>
      </c>
      <c r="C393" s="458" t="s">
        <v>101</v>
      </c>
      <c r="D393" s="12">
        <v>230</v>
      </c>
      <c r="E393" s="12" t="s">
        <v>122</v>
      </c>
      <c r="F393" s="183" t="s">
        <v>102</v>
      </c>
      <c r="G393" s="183">
        <v>28</v>
      </c>
      <c r="H393" s="183">
        <v>72</v>
      </c>
      <c r="I393" s="12">
        <v>45</v>
      </c>
      <c r="J393" s="12">
        <v>100</v>
      </c>
      <c r="K393" s="459" t="s">
        <v>205</v>
      </c>
      <c r="L393" s="183" t="s">
        <v>59</v>
      </c>
      <c r="M393" s="183">
        <f>ROUND(((E393*I393*J393* (G393+H393))/(1000000*3.6)),4)</f>
        <v>6.25E-2</v>
      </c>
      <c r="N393" s="183">
        <f>ROUND(((D393*I393*J393*(G393+H393))/1000000000),4)</f>
        <v>0.10349999999999999</v>
      </c>
      <c r="O393" s="25"/>
      <c r="P393" s="25"/>
      <c r="Q393" s="50"/>
      <c r="R393" s="9"/>
    </row>
    <row r="394" spans="1:19" ht="30" customHeight="1" x14ac:dyDescent="0.25">
      <c r="A394" s="1352" t="s">
        <v>486</v>
      </c>
      <c r="B394" s="1352"/>
      <c r="C394" s="1352"/>
      <c r="D394" s="1352"/>
      <c r="E394" s="1352"/>
      <c r="F394" s="1352"/>
      <c r="G394" s="1352"/>
      <c r="H394" s="1352"/>
      <c r="I394" s="1352"/>
      <c r="J394" s="1352"/>
      <c r="K394" s="461" t="s">
        <v>205</v>
      </c>
      <c r="L394" s="462" t="s">
        <v>59</v>
      </c>
      <c r="M394" s="511">
        <f>MAX(M392,M393)</f>
        <v>6.25E-2</v>
      </c>
      <c r="N394" s="511">
        <f>N392+N393</f>
        <v>0.20699999999999999</v>
      </c>
      <c r="O394" s="25">
        <f>M394</f>
        <v>6.25E-2</v>
      </c>
      <c r="P394" s="25">
        <f>N394</f>
        <v>0.20699999999999999</v>
      </c>
      <c r="Q394" s="49"/>
      <c r="R394" s="51"/>
    </row>
    <row r="395" spans="1:19" ht="15" customHeight="1" x14ac:dyDescent="0.25">
      <c r="A395" s="1353" t="s">
        <v>284</v>
      </c>
      <c r="B395" s="1358"/>
      <c r="C395" s="1358"/>
      <c r="D395" s="1358"/>
      <c r="E395" s="1358"/>
      <c r="F395" s="1358"/>
      <c r="G395" s="1358"/>
      <c r="H395" s="1358"/>
      <c r="I395" s="1358"/>
      <c r="J395" s="1358"/>
      <c r="K395" s="1358"/>
      <c r="L395" s="1358"/>
      <c r="M395" s="1358"/>
      <c r="N395" s="1359"/>
      <c r="O395" s="908"/>
      <c r="P395" s="908"/>
      <c r="Q395" s="49"/>
      <c r="R395" s="51"/>
    </row>
    <row r="396" spans="1:19" ht="15" customHeight="1" x14ac:dyDescent="0.25">
      <c r="A396" s="1360" t="s">
        <v>496</v>
      </c>
      <c r="B396" s="431" t="s">
        <v>339</v>
      </c>
      <c r="C396" s="432" t="s">
        <v>101</v>
      </c>
      <c r="D396" s="433">
        <v>16.5</v>
      </c>
      <c r="E396" s="12" t="s">
        <v>340</v>
      </c>
      <c r="F396" s="433" t="s">
        <v>102</v>
      </c>
      <c r="G396" s="12">
        <v>28</v>
      </c>
      <c r="H396" s="433">
        <v>72</v>
      </c>
      <c r="I396" s="345">
        <v>64.5</v>
      </c>
      <c r="J396" s="345">
        <v>50</v>
      </c>
      <c r="K396" s="434" t="s">
        <v>115</v>
      </c>
      <c r="L396" s="13">
        <v>1210</v>
      </c>
      <c r="M396" s="12">
        <f>ROUND(((E396*I396*J396* (G396+H396))/(1000000*3.6)),4)</f>
        <v>8.9599999999999999E-2</v>
      </c>
      <c r="N396" s="435">
        <f>ROUND(((D396*I396*J396*(G396+H396))/1000000000),4)</f>
        <v>5.3E-3</v>
      </c>
      <c r="O396" s="25"/>
      <c r="P396" s="25"/>
    </row>
    <row r="397" spans="1:19" ht="15" customHeight="1" x14ac:dyDescent="0.25">
      <c r="A397" s="1361"/>
      <c r="B397" s="436"/>
      <c r="C397" s="437"/>
      <c r="D397" s="153"/>
      <c r="E397" s="339"/>
      <c r="F397" s="153"/>
      <c r="G397" s="339"/>
      <c r="H397" s="153"/>
      <c r="I397" s="235"/>
      <c r="J397" s="235">
        <v>20</v>
      </c>
      <c r="K397" s="438" t="s">
        <v>111</v>
      </c>
      <c r="L397" s="421" t="s">
        <v>112</v>
      </c>
      <c r="M397" s="339">
        <f>ROUND(((E396*I396*J396* (G396+H396))/(1000000*3.6)),4)</f>
        <v>8.9599999999999999E-2</v>
      </c>
      <c r="N397" s="439">
        <f>ROUND(((D396*I396*J397*(G396+H396))/1000000000),5)</f>
        <v>2.1299999999999999E-3</v>
      </c>
      <c r="O397" s="25"/>
      <c r="P397" s="25"/>
    </row>
    <row r="398" spans="1:19" ht="15" customHeight="1" x14ac:dyDescent="0.25">
      <c r="A398" s="1361"/>
      <c r="B398" s="436"/>
      <c r="C398" s="437"/>
      <c r="D398" s="153"/>
      <c r="E398" s="339"/>
      <c r="F398" s="153"/>
      <c r="G398" s="339"/>
      <c r="H398" s="153"/>
      <c r="I398" s="235"/>
      <c r="J398" s="235">
        <v>10</v>
      </c>
      <c r="K398" s="438" t="s">
        <v>274</v>
      </c>
      <c r="L398" s="153" t="s">
        <v>275</v>
      </c>
      <c r="M398" s="339">
        <f>ROUND(((E396*I396*J398* (G396+H396))/(1000000*3.6)),4)</f>
        <v>1.7899999999999999E-2</v>
      </c>
      <c r="N398" s="439">
        <f>ROUND(((D396*I396*J398*(G396+H396))/1000000000),4)</f>
        <v>1.1000000000000001E-3</v>
      </c>
      <c r="O398" s="25"/>
      <c r="P398" s="25"/>
    </row>
    <row r="399" spans="1:19" ht="15" customHeight="1" x14ac:dyDescent="0.25">
      <c r="A399" s="1361"/>
      <c r="B399" s="440"/>
      <c r="C399" s="441"/>
      <c r="D399" s="442"/>
      <c r="E399" s="340"/>
      <c r="F399" s="442"/>
      <c r="G399" s="340"/>
      <c r="H399" s="442"/>
      <c r="I399" s="346"/>
      <c r="J399" s="346">
        <v>20</v>
      </c>
      <c r="K399" s="443" t="s">
        <v>117</v>
      </c>
      <c r="L399" s="430" t="s">
        <v>118</v>
      </c>
      <c r="M399" s="340">
        <f>ROUND(((E396*I396*J399* (G396+H396))/(1000000*3.6)),4)</f>
        <v>3.5799999999999998E-2</v>
      </c>
      <c r="N399" s="444">
        <f>ROUND(((D396*I396*J399*(G396+H396))/1000000000),4)</f>
        <v>2.0999999999999999E-3</v>
      </c>
      <c r="O399" s="25"/>
      <c r="P399" s="25"/>
    </row>
    <row r="400" spans="1:19" ht="15" customHeight="1" x14ac:dyDescent="0.25">
      <c r="A400" s="1361"/>
      <c r="B400" s="413" t="s">
        <v>110</v>
      </c>
      <c r="C400" s="413" t="s">
        <v>101</v>
      </c>
      <c r="D400" s="13">
        <v>16</v>
      </c>
      <c r="E400" s="13" t="s">
        <v>122</v>
      </c>
      <c r="F400" s="13" t="s">
        <v>102</v>
      </c>
      <c r="G400" s="13">
        <v>28</v>
      </c>
      <c r="H400" s="13">
        <v>72</v>
      </c>
      <c r="I400" s="13">
        <v>45</v>
      </c>
      <c r="J400" s="227">
        <v>50</v>
      </c>
      <c r="K400" s="463" t="s">
        <v>103</v>
      </c>
      <c r="L400" s="13" t="s">
        <v>104</v>
      </c>
      <c r="M400" s="415">
        <f>ROUND(((E400*I400*J400* (G400+H400))/(1000000*3.6)),4)</f>
        <v>3.1300000000000001E-2</v>
      </c>
      <c r="N400" s="13">
        <f>ROUND(((D400*I400*J400*(G400+H400))/1000000000),4)</f>
        <v>3.5999999999999999E-3</v>
      </c>
      <c r="O400" s="900"/>
      <c r="P400" s="900"/>
      <c r="Q400" s="50"/>
      <c r="R400" s="9"/>
      <c r="S400" s="9"/>
    </row>
    <row r="401" spans="1:19" ht="15" customHeight="1" x14ac:dyDescent="0.25">
      <c r="A401" s="1361"/>
      <c r="B401" s="424"/>
      <c r="C401" s="425"/>
      <c r="D401" s="426"/>
      <c r="E401" s="426"/>
      <c r="F401" s="426"/>
      <c r="G401" s="426"/>
      <c r="H401" s="426"/>
      <c r="I401" s="426"/>
      <c r="J401" s="427">
        <v>50</v>
      </c>
      <c r="K401" s="443" t="s">
        <v>106</v>
      </c>
      <c r="L401" s="340" t="s">
        <v>107</v>
      </c>
      <c r="M401" s="430">
        <f>ROUND(((E400*I400*J401* (G400+H400))/(1000000*3.6)),4)</f>
        <v>3.1300000000000001E-2</v>
      </c>
      <c r="N401" s="429">
        <f>ROUND(((D400*I400*J401*(G400+H400))/1000000000),4)</f>
        <v>3.5999999999999999E-3</v>
      </c>
      <c r="O401" s="900"/>
      <c r="P401" s="900"/>
      <c r="Q401" s="50"/>
      <c r="R401" s="9"/>
      <c r="S401" s="9"/>
    </row>
    <row r="402" spans="1:19" ht="15" customHeight="1" x14ac:dyDescent="0.25">
      <c r="A402" s="1377"/>
      <c r="B402" s="464" t="s">
        <v>100</v>
      </c>
      <c r="C402" s="464" t="s">
        <v>101</v>
      </c>
      <c r="D402" s="226">
        <v>8</v>
      </c>
      <c r="E402" s="226" t="s">
        <v>122</v>
      </c>
      <c r="F402" s="226" t="s">
        <v>102</v>
      </c>
      <c r="G402" s="226">
        <v>28</v>
      </c>
      <c r="H402" s="226">
        <v>72</v>
      </c>
      <c r="I402" s="226">
        <v>45</v>
      </c>
      <c r="J402" s="465">
        <v>100</v>
      </c>
      <c r="K402" s="466" t="s">
        <v>103</v>
      </c>
      <c r="L402" s="183" t="s">
        <v>104</v>
      </c>
      <c r="M402" s="467">
        <f>ROUND(((E402*I402*J402* (G402+H402))/(1000000*3.6)),4)</f>
        <v>6.25E-2</v>
      </c>
      <c r="N402" s="226">
        <f>ROUND(((D402*I402*J402*(G402+H402))/1000000000),5)</f>
        <v>3.5999999999999999E-3</v>
      </c>
      <c r="O402" s="900"/>
      <c r="P402" s="900"/>
      <c r="Q402" s="50"/>
      <c r="R402" s="9"/>
      <c r="S402" s="9"/>
    </row>
    <row r="403" spans="1:19" ht="15" customHeight="1" x14ac:dyDescent="0.25">
      <c r="A403" s="1378" t="s">
        <v>497</v>
      </c>
      <c r="B403" s="1379"/>
      <c r="C403" s="1379"/>
      <c r="D403" s="1379"/>
      <c r="E403" s="1379"/>
      <c r="F403" s="1379"/>
      <c r="G403" s="1379"/>
      <c r="H403" s="1379"/>
      <c r="I403" s="1379"/>
      <c r="J403" s="1380"/>
      <c r="K403" s="468" t="s">
        <v>115</v>
      </c>
      <c r="L403" s="449">
        <v>1210</v>
      </c>
      <c r="M403" s="512">
        <f t="shared" ref="M403:N406" si="4">M396</f>
        <v>8.9599999999999999E-2</v>
      </c>
      <c r="N403" s="449">
        <f t="shared" si="4"/>
        <v>5.3E-3</v>
      </c>
      <c r="O403" s="900"/>
      <c r="P403" s="900"/>
      <c r="Q403" s="50"/>
      <c r="R403" s="9"/>
      <c r="S403" s="9"/>
    </row>
    <row r="404" spans="1:19" ht="15" customHeight="1" x14ac:dyDescent="0.25">
      <c r="A404" s="1381"/>
      <c r="B404" s="1382"/>
      <c r="C404" s="1382"/>
      <c r="D404" s="1382"/>
      <c r="E404" s="1382"/>
      <c r="F404" s="1382"/>
      <c r="G404" s="1382"/>
      <c r="H404" s="1382"/>
      <c r="I404" s="1382"/>
      <c r="J404" s="1383"/>
      <c r="K404" s="450" t="s">
        <v>111</v>
      </c>
      <c r="L404" s="451" t="s">
        <v>112</v>
      </c>
      <c r="M404" s="513">
        <f t="shared" si="4"/>
        <v>8.9599999999999999E-2</v>
      </c>
      <c r="N404" s="451">
        <f t="shared" si="4"/>
        <v>2.1299999999999999E-3</v>
      </c>
      <c r="O404" s="900"/>
      <c r="P404" s="900"/>
      <c r="Q404" s="50"/>
      <c r="R404" s="9"/>
      <c r="S404" s="9"/>
    </row>
    <row r="405" spans="1:19" ht="15" customHeight="1" x14ac:dyDescent="0.25">
      <c r="A405" s="1381"/>
      <c r="B405" s="1382"/>
      <c r="C405" s="1382"/>
      <c r="D405" s="1382"/>
      <c r="E405" s="1382"/>
      <c r="F405" s="1382"/>
      <c r="G405" s="1382"/>
      <c r="H405" s="1382"/>
      <c r="I405" s="1382"/>
      <c r="J405" s="1383"/>
      <c r="K405" s="450" t="s">
        <v>274</v>
      </c>
      <c r="L405" s="452" t="s">
        <v>275</v>
      </c>
      <c r="M405" s="513">
        <f t="shared" si="4"/>
        <v>1.7899999999999999E-2</v>
      </c>
      <c r="N405" s="451">
        <f t="shared" si="4"/>
        <v>1.1000000000000001E-3</v>
      </c>
      <c r="O405" s="900"/>
      <c r="P405" s="900"/>
      <c r="Q405" s="50"/>
      <c r="R405" s="9"/>
      <c r="S405" s="9"/>
    </row>
    <row r="406" spans="1:19" ht="15" customHeight="1" x14ac:dyDescent="0.25">
      <c r="A406" s="1381"/>
      <c r="B406" s="1382"/>
      <c r="C406" s="1382"/>
      <c r="D406" s="1382"/>
      <c r="E406" s="1382"/>
      <c r="F406" s="1382"/>
      <c r="G406" s="1382"/>
      <c r="H406" s="1382"/>
      <c r="I406" s="1382"/>
      <c r="J406" s="1383"/>
      <c r="K406" s="450" t="s">
        <v>117</v>
      </c>
      <c r="L406" s="451" t="s">
        <v>118</v>
      </c>
      <c r="M406" s="513">
        <f t="shared" si="4"/>
        <v>3.5799999999999998E-2</v>
      </c>
      <c r="N406" s="451">
        <f t="shared" si="4"/>
        <v>2.0999999999999999E-3</v>
      </c>
      <c r="O406" s="900"/>
      <c r="P406" s="900"/>
      <c r="Q406" s="50"/>
      <c r="R406" s="9"/>
      <c r="S406" s="9"/>
    </row>
    <row r="407" spans="1:19" ht="15" customHeight="1" x14ac:dyDescent="0.25">
      <c r="A407" s="1381"/>
      <c r="B407" s="1382"/>
      <c r="C407" s="1382"/>
      <c r="D407" s="1382"/>
      <c r="E407" s="1382"/>
      <c r="F407" s="1382"/>
      <c r="G407" s="1382"/>
      <c r="H407" s="1382"/>
      <c r="I407" s="1382"/>
      <c r="J407" s="1383"/>
      <c r="K407" s="469" t="s">
        <v>103</v>
      </c>
      <c r="L407" s="452" t="s">
        <v>104</v>
      </c>
      <c r="M407" s="451">
        <f>MAX(M400,M402)</f>
        <v>6.25E-2</v>
      </c>
      <c r="N407" s="451">
        <f>N400+N402</f>
        <v>7.1999999999999998E-3</v>
      </c>
      <c r="O407" s="900"/>
      <c r="P407" s="900"/>
      <c r="Q407" s="50"/>
      <c r="R407" s="9"/>
      <c r="S407" s="9"/>
    </row>
    <row r="408" spans="1:19" ht="15" customHeight="1" x14ac:dyDescent="0.25">
      <c r="A408" s="1384"/>
      <c r="B408" s="1385"/>
      <c r="C408" s="1385"/>
      <c r="D408" s="1385"/>
      <c r="E408" s="1385"/>
      <c r="F408" s="1385"/>
      <c r="G408" s="1385"/>
      <c r="H408" s="1385"/>
      <c r="I408" s="1385"/>
      <c r="J408" s="1386"/>
      <c r="K408" s="454" t="s">
        <v>106</v>
      </c>
      <c r="L408" s="456" t="s">
        <v>107</v>
      </c>
      <c r="M408" s="456">
        <f>M401</f>
        <v>3.1300000000000001E-2</v>
      </c>
      <c r="N408" s="456">
        <f>N401</f>
        <v>3.5999999999999999E-3</v>
      </c>
      <c r="O408" s="25">
        <f>SUM(M403:M408)</f>
        <v>0.32669999999999999</v>
      </c>
      <c r="P408" s="25">
        <f>SUM(N403:N408)</f>
        <v>2.1429999999999998E-2</v>
      </c>
      <c r="Q408" s="50"/>
      <c r="R408" s="9"/>
      <c r="S408" s="9"/>
    </row>
    <row r="409" spans="1:19" ht="15" customHeight="1" x14ac:dyDescent="0.25">
      <c r="A409" s="1353" t="s">
        <v>291</v>
      </c>
      <c r="B409" s="1358"/>
      <c r="C409" s="1358"/>
      <c r="D409" s="1358"/>
      <c r="E409" s="1358"/>
      <c r="F409" s="1358"/>
      <c r="G409" s="1358"/>
      <c r="H409" s="1358"/>
      <c r="I409" s="1358"/>
      <c r="J409" s="1358"/>
      <c r="K409" s="1354"/>
      <c r="L409" s="1354"/>
      <c r="M409" s="1358"/>
      <c r="N409" s="1359"/>
      <c r="O409" s="911"/>
      <c r="P409" s="911"/>
      <c r="Q409" s="49"/>
      <c r="R409" s="51"/>
    </row>
    <row r="410" spans="1:19" ht="15" customHeight="1" x14ac:dyDescent="0.25">
      <c r="A410" s="1360" t="s">
        <v>504</v>
      </c>
      <c r="B410" s="487" t="s">
        <v>298</v>
      </c>
      <c r="C410" s="413" t="s">
        <v>101</v>
      </c>
      <c r="D410" s="13">
        <v>23.7</v>
      </c>
      <c r="E410" s="13" t="s">
        <v>122</v>
      </c>
      <c r="F410" s="13" t="s">
        <v>102</v>
      </c>
      <c r="G410" s="13">
        <v>28</v>
      </c>
      <c r="H410" s="13">
        <v>72</v>
      </c>
      <c r="I410" s="13">
        <v>63</v>
      </c>
      <c r="J410" s="227">
        <v>57.4</v>
      </c>
      <c r="K410" s="463" t="s">
        <v>103</v>
      </c>
      <c r="L410" s="13" t="s">
        <v>104</v>
      </c>
      <c r="M410" s="415">
        <f>ROUND(((E410*I410*J410* (G410+H410))/(1000000*3.6)),4)</f>
        <v>5.0200000000000002E-2</v>
      </c>
      <c r="N410" s="13">
        <f>ROUND(((D410*I410*J410*(G410+H410))/1000000000),4)</f>
        <v>8.6E-3</v>
      </c>
      <c r="O410" s="900"/>
      <c r="P410" s="900"/>
      <c r="Q410" s="50"/>
      <c r="R410" s="9"/>
    </row>
    <row r="411" spans="1:19" ht="15" customHeight="1" x14ac:dyDescent="0.25">
      <c r="A411" s="1368"/>
      <c r="B411" s="481"/>
      <c r="C411" s="425"/>
      <c r="D411" s="426"/>
      <c r="E411" s="426"/>
      <c r="F411" s="426"/>
      <c r="G411" s="426"/>
      <c r="H411" s="426"/>
      <c r="I411" s="426"/>
      <c r="J411" s="427">
        <v>42.6</v>
      </c>
      <c r="K411" s="443" t="s">
        <v>106</v>
      </c>
      <c r="L411" s="340" t="s">
        <v>107</v>
      </c>
      <c r="M411" s="430">
        <f>ROUND(((E410*I410*J411* (G410+H410))/(1000000*3.6)),4)</f>
        <v>3.73E-2</v>
      </c>
      <c r="N411" s="429">
        <f>ROUND(((D410*I410*J411*(G410+H410))/1000000000),4)</f>
        <v>6.4000000000000003E-3</v>
      </c>
      <c r="O411" s="900"/>
      <c r="P411" s="900"/>
      <c r="Q411" s="50"/>
      <c r="R411" s="9"/>
    </row>
    <row r="412" spans="1:19" ht="15" customHeight="1" x14ac:dyDescent="0.25">
      <c r="A412" s="1368"/>
      <c r="B412" s="1347" t="s">
        <v>269</v>
      </c>
      <c r="C412" s="432" t="s">
        <v>101</v>
      </c>
      <c r="D412" s="433">
        <v>1.5</v>
      </c>
      <c r="E412" s="12" t="s">
        <v>508</v>
      </c>
      <c r="F412" s="433" t="s">
        <v>102</v>
      </c>
      <c r="G412" s="12">
        <v>28</v>
      </c>
      <c r="H412" s="433">
        <v>72</v>
      </c>
      <c r="I412" s="345">
        <v>63</v>
      </c>
      <c r="J412" s="12">
        <v>57.4</v>
      </c>
      <c r="K412" s="470" t="s">
        <v>103</v>
      </c>
      <c r="L412" s="344" t="s">
        <v>104</v>
      </c>
      <c r="M412" s="12">
        <f>ROUND(((E412*I412*J412* (G412+H412))/(1000000*3.6)),4)</f>
        <v>2.01E-2</v>
      </c>
      <c r="N412" s="435">
        <f>ROUND(((D412*I412*J412*(G412+H412))/1000000000),5)</f>
        <v>5.4000000000000001E-4</v>
      </c>
      <c r="O412" s="25"/>
      <c r="P412" s="25"/>
      <c r="Q412" s="50"/>
      <c r="R412" s="9"/>
    </row>
    <row r="413" spans="1:19" ht="15" customHeight="1" x14ac:dyDescent="0.25">
      <c r="A413" s="1368"/>
      <c r="B413" s="1348"/>
      <c r="C413" s="437"/>
      <c r="D413" s="153"/>
      <c r="E413" s="339"/>
      <c r="F413" s="153"/>
      <c r="G413" s="339"/>
      <c r="H413" s="153"/>
      <c r="I413" s="235"/>
      <c r="J413" s="339">
        <v>42.6</v>
      </c>
      <c r="K413" s="471" t="s">
        <v>106</v>
      </c>
      <c r="L413" s="337">
        <v>2752</v>
      </c>
      <c r="M413" s="339">
        <f>ROUND(((E412*I412*J412* (G412+H412))/(1000000*3.6)),4)</f>
        <v>2.01E-2</v>
      </c>
      <c r="N413" s="439">
        <f>ROUND(((D412*I412*J413*(G412+H412))/1000000000),5)</f>
        <v>4.0000000000000002E-4</v>
      </c>
      <c r="O413" s="25"/>
      <c r="P413" s="25"/>
      <c r="Q413" s="50"/>
      <c r="R413" s="9"/>
    </row>
    <row r="414" spans="1:19" ht="15" customHeight="1" x14ac:dyDescent="0.25">
      <c r="A414" s="1368"/>
      <c r="B414" s="556" t="s">
        <v>299</v>
      </c>
      <c r="C414" s="536" t="s">
        <v>101</v>
      </c>
      <c r="D414" s="412">
        <v>6.6</v>
      </c>
      <c r="E414" s="412" t="s">
        <v>122</v>
      </c>
      <c r="F414" s="412" t="s">
        <v>102</v>
      </c>
      <c r="G414" s="412">
        <v>28</v>
      </c>
      <c r="H414" s="412">
        <v>72</v>
      </c>
      <c r="I414" s="412">
        <v>100</v>
      </c>
      <c r="J414" s="520">
        <v>100</v>
      </c>
      <c r="K414" s="478" t="s">
        <v>108</v>
      </c>
      <c r="L414" s="474" t="s">
        <v>109</v>
      </c>
      <c r="M414" s="557">
        <f>ROUND(((E414*I414*J414* (G414+H414))/(1000000*3.6)),4)</f>
        <v>0.1389</v>
      </c>
      <c r="N414" s="412">
        <f>ROUND(((D414*I414*J414*(G414+H414))/1000000000),4)</f>
        <v>6.6E-3</v>
      </c>
      <c r="O414" s="569"/>
      <c r="P414" s="569"/>
      <c r="Q414" s="50"/>
      <c r="R414" s="9"/>
      <c r="S414" s="9"/>
    </row>
    <row r="415" spans="1:19" ht="15" customHeight="1" x14ac:dyDescent="0.25">
      <c r="A415" s="1368"/>
      <c r="B415" s="487" t="s">
        <v>106</v>
      </c>
      <c r="C415" s="413" t="s">
        <v>101</v>
      </c>
      <c r="D415" s="13">
        <v>540.20000000000005</v>
      </c>
      <c r="E415" s="13" t="s">
        <v>375</v>
      </c>
      <c r="F415" s="13" t="s">
        <v>102</v>
      </c>
      <c r="G415" s="13">
        <v>28</v>
      </c>
      <c r="H415" s="13">
        <v>72</v>
      </c>
      <c r="I415" s="13">
        <v>100</v>
      </c>
      <c r="J415" s="227">
        <v>100</v>
      </c>
      <c r="K415" s="558" t="s">
        <v>106</v>
      </c>
      <c r="L415" s="340">
        <v>2752</v>
      </c>
      <c r="M415" s="421">
        <f>ROUND(((E415*I415*J415* (G415+H415))/(1000000*3.6)),4)</f>
        <v>0.55559999999999998</v>
      </c>
      <c r="N415" s="13">
        <f>ROUND(((D415*I415*J415*(G415+H415))/1000000000),4)</f>
        <v>0.54020000000000001</v>
      </c>
      <c r="O415" s="900"/>
      <c r="P415" s="900"/>
      <c r="Q415" s="50"/>
      <c r="R415" s="9"/>
    </row>
    <row r="416" spans="1:19" ht="30" customHeight="1" x14ac:dyDescent="0.25">
      <c r="A416" s="1368"/>
      <c r="B416" s="508" t="s">
        <v>300</v>
      </c>
      <c r="C416" s="477" t="s">
        <v>101</v>
      </c>
      <c r="D416" s="412">
        <v>25.9</v>
      </c>
      <c r="E416" s="412" t="s">
        <v>340</v>
      </c>
      <c r="F416" s="474" t="s">
        <v>102</v>
      </c>
      <c r="G416" s="474">
        <v>28</v>
      </c>
      <c r="H416" s="474">
        <v>72</v>
      </c>
      <c r="I416" s="412">
        <v>60</v>
      </c>
      <c r="J416" s="412">
        <v>100</v>
      </c>
      <c r="K416" s="478" t="s">
        <v>205</v>
      </c>
      <c r="L416" s="474" t="s">
        <v>59</v>
      </c>
      <c r="M416" s="474">
        <f>ROUND(((E416*I416*J416* (G416+H416))/(1000000*3.6)),4)</f>
        <v>0.16669999999999999</v>
      </c>
      <c r="N416" s="474">
        <f>ROUND(((D416*I416*J416*(G416+H416))/1000000000),4)</f>
        <v>1.55E-2</v>
      </c>
      <c r="O416" s="569"/>
      <c r="P416" s="569"/>
      <c r="Q416" s="50"/>
      <c r="R416" s="9"/>
    </row>
    <row r="417" spans="1:19" ht="15" customHeight="1" x14ac:dyDescent="0.25">
      <c r="A417" s="1368"/>
      <c r="B417" s="521" t="s">
        <v>301</v>
      </c>
      <c r="C417" s="413" t="s">
        <v>101</v>
      </c>
      <c r="D417" s="415">
        <v>2721.3</v>
      </c>
      <c r="E417" s="13">
        <v>4.5</v>
      </c>
      <c r="F417" s="415" t="s">
        <v>102</v>
      </c>
      <c r="G417" s="13">
        <v>28</v>
      </c>
      <c r="H417" s="415">
        <v>72</v>
      </c>
      <c r="I417" s="345">
        <v>64.5</v>
      </c>
      <c r="J417" s="345">
        <v>50</v>
      </c>
      <c r="K417" s="434" t="s">
        <v>115</v>
      </c>
      <c r="L417" s="13">
        <v>1210</v>
      </c>
      <c r="M417" s="12">
        <f>ROUND(((E417*I417*J417* (G417+H417))/(1000000*3.6)),4)</f>
        <v>0.40310000000000001</v>
      </c>
      <c r="N417" s="435">
        <f>ROUND(((D417*I417*J417*(G417+H417))/1000000000),4)</f>
        <v>0.87760000000000005</v>
      </c>
      <c r="O417" s="25"/>
      <c r="P417" s="25"/>
      <c r="Q417" s="50"/>
      <c r="R417" s="9"/>
    </row>
    <row r="418" spans="1:19" ht="15" customHeight="1" x14ac:dyDescent="0.25">
      <c r="A418" s="1368"/>
      <c r="B418" s="559"/>
      <c r="C418" s="417"/>
      <c r="E418" s="417"/>
      <c r="G418" s="417"/>
      <c r="I418" s="235"/>
      <c r="J418" s="235">
        <v>20</v>
      </c>
      <c r="K418" s="438" t="s">
        <v>111</v>
      </c>
      <c r="L418" s="421" t="s">
        <v>112</v>
      </c>
      <c r="M418" s="339">
        <f>ROUND(((E417*I417*J417* (G417+H417))/(1000000*3.6)),4)</f>
        <v>0.40310000000000001</v>
      </c>
      <c r="N418" s="439">
        <f>ROUND(((D417*I417*J418*(G417+H417))/1000000000),5)</f>
        <v>0.35104999999999997</v>
      </c>
      <c r="O418" s="25"/>
      <c r="P418" s="25"/>
      <c r="Q418" s="50"/>
      <c r="R418" s="9"/>
    </row>
    <row r="419" spans="1:19" ht="15" customHeight="1" x14ac:dyDescent="0.25">
      <c r="A419" s="1368"/>
      <c r="B419" s="559"/>
      <c r="C419" s="417"/>
      <c r="E419" s="417"/>
      <c r="G419" s="417"/>
      <c r="I419" s="235"/>
      <c r="J419" s="235">
        <v>10</v>
      </c>
      <c r="K419" s="438" t="s">
        <v>274</v>
      </c>
      <c r="L419" s="153" t="s">
        <v>275</v>
      </c>
      <c r="M419" s="339">
        <f>ROUND(((E417*I417*J419* (G417+H417))/(1000000*3.6)),4)</f>
        <v>8.0600000000000005E-2</v>
      </c>
      <c r="N419" s="439">
        <f>ROUND(((D417*I417*J419*(G417+H417))/1000000000),4)</f>
        <v>0.17549999999999999</v>
      </c>
      <c r="O419" s="25"/>
      <c r="P419" s="25"/>
      <c r="Q419" s="50"/>
      <c r="R419" s="9"/>
    </row>
    <row r="420" spans="1:19" ht="15" customHeight="1" x14ac:dyDescent="0.25">
      <c r="A420" s="1368"/>
      <c r="B420" s="522"/>
      <c r="C420" s="426"/>
      <c r="D420" s="26"/>
      <c r="E420" s="426"/>
      <c r="F420" s="26"/>
      <c r="G420" s="426"/>
      <c r="H420" s="26"/>
      <c r="I420" s="346"/>
      <c r="J420" s="346">
        <v>20</v>
      </c>
      <c r="K420" s="443" t="s">
        <v>117</v>
      </c>
      <c r="L420" s="430" t="s">
        <v>118</v>
      </c>
      <c r="M420" s="340">
        <f>ROUND(((E417*I417*J420* (G417+H417))/(1000000*3.6)),4)</f>
        <v>0.1613</v>
      </c>
      <c r="N420" s="444">
        <f>ROUND(((D417*I417*J420*(G417+H417))/1000000000),4)</f>
        <v>0.35099999999999998</v>
      </c>
      <c r="O420" s="25"/>
      <c r="P420" s="25"/>
      <c r="Q420" s="50"/>
      <c r="R420" s="9"/>
    </row>
    <row r="421" spans="1:19" ht="15" customHeight="1" x14ac:dyDescent="0.25">
      <c r="A421" s="1368"/>
      <c r="B421" s="431" t="s">
        <v>354</v>
      </c>
      <c r="C421" s="432" t="s">
        <v>101</v>
      </c>
      <c r="D421" s="433">
        <v>1080</v>
      </c>
      <c r="E421" s="12" t="s">
        <v>345</v>
      </c>
      <c r="F421" s="433" t="s">
        <v>102</v>
      </c>
      <c r="G421" s="12">
        <v>28</v>
      </c>
      <c r="H421" s="433">
        <v>72</v>
      </c>
      <c r="I421" s="345">
        <v>64.5</v>
      </c>
      <c r="J421" s="345">
        <v>50</v>
      </c>
      <c r="K421" s="434" t="s">
        <v>115</v>
      </c>
      <c r="L421" s="13">
        <v>1210</v>
      </c>
      <c r="M421" s="12">
        <f>ROUND(((E421*I421*J421* (G421+H421))/(1000000*3.6)),4)</f>
        <v>0.224</v>
      </c>
      <c r="N421" s="435">
        <f>ROUND(((D421*I421*J421*(G421+H421))/1000000000),4)</f>
        <v>0.3483</v>
      </c>
      <c r="O421" s="25"/>
      <c r="P421" s="25"/>
      <c r="Q421" s="50"/>
      <c r="R421" s="9"/>
    </row>
    <row r="422" spans="1:19" ht="15" customHeight="1" x14ac:dyDescent="0.25">
      <c r="A422" s="1368"/>
      <c r="B422" s="436" t="s">
        <v>355</v>
      </c>
      <c r="C422" s="437"/>
      <c r="D422" s="153"/>
      <c r="E422" s="339"/>
      <c r="F422" s="153"/>
      <c r="G422" s="339"/>
      <c r="H422" s="153"/>
      <c r="I422" s="235"/>
      <c r="J422" s="235">
        <v>20</v>
      </c>
      <c r="K422" s="438" t="s">
        <v>111</v>
      </c>
      <c r="L422" s="421" t="s">
        <v>112</v>
      </c>
      <c r="M422" s="339">
        <f>ROUND(((E421*I421*J421* (G421+H421))/(1000000*3.6)),4)</f>
        <v>0.224</v>
      </c>
      <c r="N422" s="439">
        <f>ROUND(((D421*I421*J422*(G421+H421))/1000000000),5)</f>
        <v>0.13932</v>
      </c>
      <c r="O422" s="25"/>
      <c r="P422" s="25"/>
      <c r="Q422" s="50"/>
      <c r="R422" s="9"/>
    </row>
    <row r="423" spans="1:19" ht="15" customHeight="1" x14ac:dyDescent="0.25">
      <c r="A423" s="1368"/>
      <c r="B423" s="436"/>
      <c r="C423" s="437"/>
      <c r="D423" s="153"/>
      <c r="E423" s="339"/>
      <c r="F423" s="153"/>
      <c r="G423" s="339"/>
      <c r="H423" s="153"/>
      <c r="I423" s="235"/>
      <c r="J423" s="235">
        <v>10</v>
      </c>
      <c r="K423" s="438" t="s">
        <v>274</v>
      </c>
      <c r="L423" s="153" t="s">
        <v>275</v>
      </c>
      <c r="M423" s="339">
        <f>ROUND(((E421*I421*J423* (G421+H421))/(1000000*3.6)),4)</f>
        <v>4.48E-2</v>
      </c>
      <c r="N423" s="439">
        <f>ROUND(((D421*I421*J423*(G421+H421))/1000000000),4)</f>
        <v>6.9699999999999998E-2</v>
      </c>
      <c r="O423" s="25"/>
      <c r="P423" s="25"/>
      <c r="Q423" s="50"/>
      <c r="R423" s="9"/>
    </row>
    <row r="424" spans="1:19" ht="15" customHeight="1" x14ac:dyDescent="0.25">
      <c r="A424" s="1368"/>
      <c r="B424" s="440"/>
      <c r="C424" s="441"/>
      <c r="D424" s="442"/>
      <c r="E424" s="340"/>
      <c r="F424" s="442"/>
      <c r="G424" s="340"/>
      <c r="H424" s="442"/>
      <c r="I424" s="346"/>
      <c r="J424" s="346">
        <v>20</v>
      </c>
      <c r="K424" s="443" t="s">
        <v>117</v>
      </c>
      <c r="L424" s="430" t="s">
        <v>118</v>
      </c>
      <c r="M424" s="340">
        <f>ROUND(((E421*I421*J424* (G421+H421))/(1000000*3.6)),4)</f>
        <v>8.9599999999999999E-2</v>
      </c>
      <c r="N424" s="444">
        <f>ROUND(((D421*I421*J424*(G421+H421))/1000000000),4)</f>
        <v>0.13930000000000001</v>
      </c>
      <c r="O424" s="25"/>
      <c r="P424" s="25"/>
      <c r="Q424" s="50"/>
      <c r="R424" s="9"/>
    </row>
    <row r="425" spans="1:19" ht="15" customHeight="1" x14ac:dyDescent="0.25">
      <c r="A425" s="1368"/>
      <c r="B425" s="487" t="s">
        <v>110</v>
      </c>
      <c r="C425" s="413" t="s">
        <v>101</v>
      </c>
      <c r="D425" s="13">
        <v>537.1</v>
      </c>
      <c r="E425" s="13" t="s">
        <v>345</v>
      </c>
      <c r="F425" s="13" t="s">
        <v>102</v>
      </c>
      <c r="G425" s="13">
        <v>28</v>
      </c>
      <c r="H425" s="13">
        <v>72</v>
      </c>
      <c r="I425" s="13">
        <v>45</v>
      </c>
      <c r="J425" s="227">
        <v>50</v>
      </c>
      <c r="K425" s="463" t="s">
        <v>103</v>
      </c>
      <c r="L425" s="13" t="s">
        <v>104</v>
      </c>
      <c r="M425" s="415">
        <f>ROUND(((E425*I425*J425* (G425+H425))/(1000000*3.6)),4)</f>
        <v>0.15629999999999999</v>
      </c>
      <c r="N425" s="13">
        <f>ROUND(((D425*I425*J425*(G425+H425))/1000000000),4)</f>
        <v>0.1208</v>
      </c>
      <c r="O425" s="900"/>
      <c r="P425" s="900"/>
      <c r="Q425" s="50"/>
      <c r="R425" s="9"/>
      <c r="S425" s="9"/>
    </row>
    <row r="426" spans="1:19" ht="15" customHeight="1" x14ac:dyDescent="0.25">
      <c r="A426" s="1368"/>
      <c r="B426" s="481"/>
      <c r="C426" s="425"/>
      <c r="D426" s="426"/>
      <c r="E426" s="426"/>
      <c r="F426" s="426"/>
      <c r="G426" s="426"/>
      <c r="H426" s="426"/>
      <c r="I426" s="426"/>
      <c r="J426" s="427">
        <v>50</v>
      </c>
      <c r="K426" s="443" t="s">
        <v>106</v>
      </c>
      <c r="L426" s="340" t="s">
        <v>107</v>
      </c>
      <c r="M426" s="430">
        <f>ROUND(((E425*I425*J426* (G425+H425))/(1000000*3.6)),4)</f>
        <v>0.15629999999999999</v>
      </c>
      <c r="N426" s="429">
        <f>ROUND(((D425*I425*J426*(G425+H425))/1000000000),4)</f>
        <v>0.1208</v>
      </c>
      <c r="O426" s="900"/>
      <c r="P426" s="900"/>
      <c r="Q426" s="50"/>
      <c r="R426" s="9"/>
      <c r="S426" s="9"/>
    </row>
    <row r="427" spans="1:19" ht="15" customHeight="1" x14ac:dyDescent="0.25">
      <c r="A427" s="1369"/>
      <c r="B427" s="507" t="s">
        <v>100</v>
      </c>
      <c r="C427" s="464" t="s">
        <v>101</v>
      </c>
      <c r="D427" s="226">
        <v>13</v>
      </c>
      <c r="E427" s="226" t="s">
        <v>122</v>
      </c>
      <c r="F427" s="226" t="s">
        <v>102</v>
      </c>
      <c r="G427" s="226">
        <v>28</v>
      </c>
      <c r="H427" s="226">
        <v>72</v>
      </c>
      <c r="I427" s="226">
        <v>45</v>
      </c>
      <c r="J427" s="465">
        <v>100</v>
      </c>
      <c r="K427" s="466" t="s">
        <v>103</v>
      </c>
      <c r="L427" s="183" t="s">
        <v>104</v>
      </c>
      <c r="M427" s="467">
        <f>ROUND(((E427*I427*J427* (G427+H427))/(1000000*3.6)),4)</f>
        <v>6.25E-2</v>
      </c>
      <c r="N427" s="226">
        <f>ROUND(((D427*I427*J427*(G427+H427))/1000000000),5)</f>
        <v>5.8500000000000002E-3</v>
      </c>
      <c r="O427" s="900"/>
      <c r="P427" s="900"/>
      <c r="Q427" s="50"/>
      <c r="R427" s="9"/>
      <c r="S427" s="9"/>
    </row>
    <row r="428" spans="1:19" ht="15" customHeight="1" x14ac:dyDescent="0.25">
      <c r="A428" s="1352" t="s">
        <v>505</v>
      </c>
      <c r="B428" s="1352"/>
      <c r="C428" s="1352"/>
      <c r="D428" s="1352"/>
      <c r="E428" s="1352"/>
      <c r="F428" s="1352"/>
      <c r="G428" s="1352"/>
      <c r="H428" s="1352"/>
      <c r="I428" s="1352"/>
      <c r="J428" s="1352"/>
      <c r="K428" s="447" t="s">
        <v>106</v>
      </c>
      <c r="L428" s="448" t="s">
        <v>107</v>
      </c>
      <c r="M428" s="449">
        <f>MAX(M411,M413,M415,M426)</f>
        <v>0.55559999999999998</v>
      </c>
      <c r="N428" s="449">
        <f>N411+N413+N415+N426</f>
        <v>0.66780000000000006</v>
      </c>
      <c r="O428" s="900"/>
      <c r="P428" s="900"/>
      <c r="Q428" s="50"/>
      <c r="R428" s="9"/>
      <c r="S428" s="9"/>
    </row>
    <row r="429" spans="1:19" ht="15" customHeight="1" x14ac:dyDescent="0.25">
      <c r="A429" s="1352"/>
      <c r="B429" s="1352"/>
      <c r="C429" s="1352"/>
      <c r="D429" s="1352"/>
      <c r="E429" s="1352"/>
      <c r="F429" s="1352"/>
      <c r="G429" s="1352"/>
      <c r="H429" s="1352"/>
      <c r="I429" s="1352"/>
      <c r="J429" s="1352"/>
      <c r="K429" s="469" t="s">
        <v>103</v>
      </c>
      <c r="L429" s="452" t="s">
        <v>104</v>
      </c>
      <c r="M429" s="452">
        <f>MAX(M410,M412,M425,M427)</f>
        <v>0.15629999999999999</v>
      </c>
      <c r="N429" s="452">
        <f>N410+N425+N427+N412</f>
        <v>0.13579000000000002</v>
      </c>
      <c r="O429" s="25"/>
      <c r="P429" s="25"/>
      <c r="Q429" s="50"/>
      <c r="R429" s="9"/>
      <c r="S429" s="9"/>
    </row>
    <row r="430" spans="1:19" ht="15" customHeight="1" x14ac:dyDescent="0.25">
      <c r="A430" s="1352"/>
      <c r="B430" s="1352"/>
      <c r="C430" s="1352"/>
      <c r="D430" s="1352"/>
      <c r="E430" s="1352"/>
      <c r="F430" s="1352"/>
      <c r="G430" s="1352"/>
      <c r="H430" s="1352"/>
      <c r="I430" s="1352"/>
      <c r="J430" s="1352"/>
      <c r="K430" s="450" t="s">
        <v>115</v>
      </c>
      <c r="L430" s="451">
        <v>1210</v>
      </c>
      <c r="M430" s="452">
        <f>MAX(M417,M421)</f>
        <v>0.40310000000000001</v>
      </c>
      <c r="N430" s="452">
        <f>N417+N421</f>
        <v>1.2259</v>
      </c>
      <c r="O430" s="25"/>
      <c r="P430" s="25"/>
      <c r="Q430" s="50"/>
      <c r="R430" s="9"/>
      <c r="S430" s="9"/>
    </row>
    <row r="431" spans="1:19" ht="15" customHeight="1" x14ac:dyDescent="0.25">
      <c r="A431" s="1352"/>
      <c r="B431" s="1352"/>
      <c r="C431" s="1352"/>
      <c r="D431" s="1352"/>
      <c r="E431" s="1352"/>
      <c r="F431" s="1352"/>
      <c r="G431" s="1352"/>
      <c r="H431" s="1352"/>
      <c r="I431" s="1352"/>
      <c r="J431" s="1352"/>
      <c r="K431" s="450" t="s">
        <v>111</v>
      </c>
      <c r="L431" s="451" t="s">
        <v>112</v>
      </c>
      <c r="M431" s="452">
        <f>MAX(M418,M422)</f>
        <v>0.40310000000000001</v>
      </c>
      <c r="N431" s="452">
        <f>N418+N422</f>
        <v>0.49036999999999997</v>
      </c>
      <c r="O431" s="25"/>
      <c r="P431" s="25"/>
      <c r="Q431" s="50"/>
      <c r="R431" s="9"/>
      <c r="S431" s="9"/>
    </row>
    <row r="432" spans="1:19" ht="15" customHeight="1" x14ac:dyDescent="0.25">
      <c r="A432" s="1352"/>
      <c r="B432" s="1352"/>
      <c r="C432" s="1352"/>
      <c r="D432" s="1352"/>
      <c r="E432" s="1352"/>
      <c r="F432" s="1352"/>
      <c r="G432" s="1352"/>
      <c r="H432" s="1352"/>
      <c r="I432" s="1352"/>
      <c r="J432" s="1352"/>
      <c r="K432" s="450" t="s">
        <v>108</v>
      </c>
      <c r="L432" s="451" t="s">
        <v>109</v>
      </c>
      <c r="M432" s="452">
        <f>M414</f>
        <v>0.1389</v>
      </c>
      <c r="N432" s="452">
        <f>N414</f>
        <v>6.6E-3</v>
      </c>
      <c r="O432" s="25"/>
      <c r="P432" s="25"/>
      <c r="Q432" s="50"/>
      <c r="R432" s="9"/>
      <c r="S432" s="9"/>
    </row>
    <row r="433" spans="1:19" ht="15" customHeight="1" x14ac:dyDescent="0.25">
      <c r="A433" s="1352"/>
      <c r="B433" s="1352"/>
      <c r="C433" s="1352"/>
      <c r="D433" s="1352"/>
      <c r="E433" s="1352"/>
      <c r="F433" s="1352"/>
      <c r="G433" s="1352"/>
      <c r="H433" s="1352"/>
      <c r="I433" s="1352"/>
      <c r="J433" s="1352"/>
      <c r="K433" s="450" t="s">
        <v>274</v>
      </c>
      <c r="L433" s="453" t="s">
        <v>275</v>
      </c>
      <c r="M433" s="452">
        <f>MAX(M419,M423)</f>
        <v>8.0600000000000005E-2</v>
      </c>
      <c r="N433" s="452">
        <f>N419+N423</f>
        <v>0.24519999999999997</v>
      </c>
      <c r="O433" s="25"/>
      <c r="P433" s="25"/>
      <c r="Q433" s="50"/>
      <c r="R433" s="9"/>
      <c r="S433" s="9"/>
    </row>
    <row r="434" spans="1:19" ht="30" customHeight="1" x14ac:dyDescent="0.25">
      <c r="A434" s="1352"/>
      <c r="B434" s="1352"/>
      <c r="C434" s="1352"/>
      <c r="D434" s="1352"/>
      <c r="E434" s="1352"/>
      <c r="F434" s="1352"/>
      <c r="G434" s="1352"/>
      <c r="H434" s="1352"/>
      <c r="I434" s="1352"/>
      <c r="J434" s="1352"/>
      <c r="K434" s="560" t="s">
        <v>205</v>
      </c>
      <c r="L434" s="561" t="s">
        <v>59</v>
      </c>
      <c r="M434" s="452">
        <f>M416</f>
        <v>0.16669999999999999</v>
      </c>
      <c r="N434" s="452">
        <f>N416</f>
        <v>1.55E-2</v>
      </c>
      <c r="O434" s="25"/>
      <c r="P434" s="25"/>
      <c r="Q434" s="50"/>
      <c r="R434" s="9"/>
      <c r="S434" s="9"/>
    </row>
    <row r="435" spans="1:19" ht="20.25" customHeight="1" x14ac:dyDescent="0.25">
      <c r="A435" s="1352"/>
      <c r="B435" s="1352"/>
      <c r="C435" s="1352"/>
      <c r="D435" s="1352"/>
      <c r="E435" s="1352"/>
      <c r="F435" s="1352"/>
      <c r="G435" s="1352"/>
      <c r="H435" s="1352"/>
      <c r="I435" s="1352"/>
      <c r="J435" s="1352"/>
      <c r="K435" s="454" t="s">
        <v>117</v>
      </c>
      <c r="L435" s="455" t="s">
        <v>118</v>
      </c>
      <c r="M435" s="456">
        <f>MAX(M420,M424)</f>
        <v>0.1613</v>
      </c>
      <c r="N435" s="456">
        <f>N420+N424</f>
        <v>0.49029999999999996</v>
      </c>
      <c r="O435" s="25">
        <f>SUM(M428:M435)</f>
        <v>2.0655999999999999</v>
      </c>
      <c r="P435" s="25">
        <f>SUM(N428:N435)</f>
        <v>3.27746</v>
      </c>
      <c r="Q435" s="50"/>
      <c r="R435" s="9"/>
      <c r="S435" s="9"/>
    </row>
    <row r="436" spans="1:19" ht="15" customHeight="1" x14ac:dyDescent="0.25">
      <c r="A436" s="1371" t="s">
        <v>63</v>
      </c>
      <c r="B436" s="1372"/>
      <c r="C436" s="1372"/>
      <c r="D436" s="1372"/>
      <c r="E436" s="1372"/>
      <c r="F436" s="1372"/>
      <c r="G436" s="1372"/>
      <c r="H436" s="1372"/>
      <c r="I436" s="1372"/>
      <c r="J436" s="1372"/>
      <c r="K436" s="1372"/>
      <c r="L436" s="1372"/>
      <c r="M436" s="1372"/>
      <c r="N436" s="1373"/>
      <c r="O436" s="912">
        <f>SUM(O254:O435)</f>
        <v>6.4760999999999997</v>
      </c>
      <c r="P436" s="909">
        <f>SUM(P254:P435)</f>
        <v>12.651516000000001</v>
      </c>
      <c r="Q436" s="910">
        <v>2028</v>
      </c>
    </row>
    <row r="437" spans="1:19" ht="15" customHeight="1" x14ac:dyDescent="0.25">
      <c r="A437" s="1353" t="s">
        <v>8</v>
      </c>
      <c r="B437" s="1354"/>
      <c r="C437" s="1354"/>
      <c r="D437" s="1354"/>
      <c r="E437" s="1354"/>
      <c r="F437" s="1354"/>
      <c r="G437" s="1354"/>
      <c r="H437" s="1354"/>
      <c r="I437" s="1354"/>
      <c r="J437" s="1354"/>
      <c r="K437" s="1354"/>
      <c r="L437" s="1354"/>
      <c r="M437" s="1354"/>
      <c r="N437" s="1355"/>
      <c r="O437" s="908"/>
      <c r="P437" s="908"/>
    </row>
    <row r="438" spans="1:19" ht="15" customHeight="1" x14ac:dyDescent="0.25">
      <c r="A438" s="1356">
        <v>7005</v>
      </c>
      <c r="B438" s="431" t="s">
        <v>119</v>
      </c>
      <c r="C438" s="432" t="s">
        <v>101</v>
      </c>
      <c r="D438" s="433">
        <v>58.3</v>
      </c>
      <c r="E438" s="12" t="s">
        <v>122</v>
      </c>
      <c r="F438" s="433" t="s">
        <v>102</v>
      </c>
      <c r="G438" s="12">
        <v>28</v>
      </c>
      <c r="H438" s="433">
        <v>72</v>
      </c>
      <c r="I438" s="345">
        <v>76.5</v>
      </c>
      <c r="J438" s="345">
        <v>4</v>
      </c>
      <c r="K438" s="470" t="s">
        <v>113</v>
      </c>
      <c r="L438" s="433" t="s">
        <v>114</v>
      </c>
      <c r="M438" s="12">
        <f>ROUND(((E438*I438*J438* (G438+H438))/(1000000*3.6)),4)</f>
        <v>4.3E-3</v>
      </c>
      <c r="N438" s="435">
        <f>ROUND(((D438*I438*J438*(G438+H438))/1000000000),4)</f>
        <v>1.8E-3</v>
      </c>
      <c r="O438" s="25"/>
      <c r="P438" s="25"/>
    </row>
    <row r="439" spans="1:19" ht="15" customHeight="1" x14ac:dyDescent="0.25">
      <c r="A439" s="1356"/>
      <c r="B439" s="436" t="s">
        <v>315</v>
      </c>
      <c r="C439" s="437"/>
      <c r="D439" s="153"/>
      <c r="E439" s="339"/>
      <c r="F439" s="153"/>
      <c r="G439" s="339"/>
      <c r="H439" s="153"/>
      <c r="I439" s="235"/>
      <c r="J439" s="235">
        <v>4</v>
      </c>
      <c r="K439" s="438" t="s">
        <v>111</v>
      </c>
      <c r="L439" s="421" t="s">
        <v>112</v>
      </c>
      <c r="M439" s="339">
        <f>ROUND(((E438*I438*J438* (G438+H438))/(1000000*3.6)),4)</f>
        <v>4.3E-3</v>
      </c>
      <c r="N439" s="439">
        <f>ROUND(((D438*I438*J439*(G438+H438))/1000000000),5)</f>
        <v>1.7799999999999999E-3</v>
      </c>
      <c r="O439" s="25"/>
      <c r="P439" s="25"/>
    </row>
    <row r="440" spans="1:19" ht="15" customHeight="1" x14ac:dyDescent="0.25">
      <c r="A440" s="1356"/>
      <c r="B440" s="436"/>
      <c r="C440" s="437"/>
      <c r="D440" s="153"/>
      <c r="E440" s="339"/>
      <c r="F440" s="153"/>
      <c r="G440" s="339"/>
      <c r="H440" s="153"/>
      <c r="I440" s="235"/>
      <c r="J440" s="235">
        <v>33</v>
      </c>
      <c r="K440" s="438" t="s">
        <v>115</v>
      </c>
      <c r="L440" s="153" t="s">
        <v>116</v>
      </c>
      <c r="M440" s="339">
        <f>ROUND(((E438*I438*J440* (G438+H438))/(1000000*3.6)),4)</f>
        <v>3.5099999999999999E-2</v>
      </c>
      <c r="N440" s="439">
        <f>ROUND(((D438*I438*J440*(G438+H438))/1000000000),4)</f>
        <v>1.47E-2</v>
      </c>
      <c r="O440" s="25"/>
      <c r="P440" s="25"/>
    </row>
    <row r="441" spans="1:19" ht="15" customHeight="1" x14ac:dyDescent="0.25">
      <c r="A441" s="1356"/>
      <c r="B441" s="436"/>
      <c r="C441" s="437"/>
      <c r="D441" s="153"/>
      <c r="E441" s="339"/>
      <c r="F441" s="153"/>
      <c r="G441" s="339"/>
      <c r="H441" s="153"/>
      <c r="I441" s="235"/>
      <c r="J441" s="235">
        <v>16</v>
      </c>
      <c r="K441" s="471" t="s">
        <v>120</v>
      </c>
      <c r="L441" s="153" t="s">
        <v>121</v>
      </c>
      <c r="M441" s="339">
        <f>ROUND(((E438*I438*J441* (G438+H438))/(1000000*3.6)),4)</f>
        <v>1.7000000000000001E-2</v>
      </c>
      <c r="N441" s="439">
        <f>ROUND(((D438*I438*J441*(G438+H438))/1000000000),4)</f>
        <v>7.1000000000000004E-3</v>
      </c>
      <c r="O441" s="25"/>
      <c r="P441" s="25"/>
    </row>
    <row r="442" spans="1:19" ht="15" customHeight="1" x14ac:dyDescent="0.25">
      <c r="A442" s="1356"/>
      <c r="B442" s="440"/>
      <c r="C442" s="441"/>
      <c r="D442" s="442"/>
      <c r="E442" s="340"/>
      <c r="F442" s="442"/>
      <c r="G442" s="340"/>
      <c r="H442" s="442"/>
      <c r="I442" s="346"/>
      <c r="J442" s="346">
        <v>43</v>
      </c>
      <c r="K442" s="438" t="s">
        <v>117</v>
      </c>
      <c r="L442" s="421" t="s">
        <v>118</v>
      </c>
      <c r="M442" s="339">
        <f>ROUND(((E438*I438*J442* (G438+H438))/(1000000*3.6)),4)</f>
        <v>4.5699999999999998E-2</v>
      </c>
      <c r="N442" s="439">
        <f>ROUND(((D438*I438*J442*(G438+H438))/1000000000),4)</f>
        <v>1.9199999999999998E-2</v>
      </c>
      <c r="O442" s="25"/>
      <c r="P442" s="25"/>
    </row>
    <row r="443" spans="1:19" ht="15" customHeight="1" x14ac:dyDescent="0.25">
      <c r="A443" s="1356"/>
      <c r="B443" s="413" t="s">
        <v>320</v>
      </c>
      <c r="C443" s="413" t="s">
        <v>101</v>
      </c>
      <c r="D443" s="13">
        <v>11</v>
      </c>
      <c r="E443" s="13" t="s">
        <v>122</v>
      </c>
      <c r="F443" s="13" t="s">
        <v>102</v>
      </c>
      <c r="G443" s="13">
        <v>28</v>
      </c>
      <c r="H443" s="13">
        <v>72</v>
      </c>
      <c r="I443" s="13">
        <v>70</v>
      </c>
      <c r="J443" s="227">
        <v>20</v>
      </c>
      <c r="K443" s="434" t="s">
        <v>115</v>
      </c>
      <c r="L443" s="13">
        <v>1210</v>
      </c>
      <c r="M443" s="415">
        <f>ROUND(((E443*I443*J443* (G443+H443))/(1000000*3.6)),4)</f>
        <v>1.9400000000000001E-2</v>
      </c>
      <c r="N443" s="13">
        <f>ROUND(((D443*I443*J443*(G443+H443))/1000000000),4)</f>
        <v>1.5E-3</v>
      </c>
      <c r="O443" s="900"/>
      <c r="P443" s="900"/>
    </row>
    <row r="444" spans="1:19" ht="15" customHeight="1" x14ac:dyDescent="0.25">
      <c r="A444" s="1356"/>
      <c r="B444" s="424" t="s">
        <v>321</v>
      </c>
      <c r="C444" s="425"/>
      <c r="D444" s="426"/>
      <c r="E444" s="426"/>
      <c r="F444" s="426"/>
      <c r="G444" s="426"/>
      <c r="H444" s="426"/>
      <c r="I444" s="426"/>
      <c r="J444" s="427">
        <v>80</v>
      </c>
      <c r="K444" s="443" t="s">
        <v>103</v>
      </c>
      <c r="L444" s="429" t="s">
        <v>104</v>
      </c>
      <c r="M444" s="430">
        <f>ROUND(((E443*I443*J444* (G443+H443))/(1000000*3.6)),4)</f>
        <v>7.7799999999999994E-2</v>
      </c>
      <c r="N444" s="429">
        <f>ROUND(((D443*I443*J444*(G443+H443))/1000000000),4)</f>
        <v>6.1999999999999998E-3</v>
      </c>
      <c r="O444" s="900"/>
      <c r="P444" s="900"/>
    </row>
    <row r="445" spans="1:19" ht="15" customHeight="1" x14ac:dyDescent="0.25">
      <c r="A445" s="1356"/>
      <c r="B445" s="464" t="s">
        <v>100</v>
      </c>
      <c r="C445" s="464" t="s">
        <v>101</v>
      </c>
      <c r="D445" s="226">
        <v>50</v>
      </c>
      <c r="E445" s="226" t="s">
        <v>122</v>
      </c>
      <c r="F445" s="226" t="s">
        <v>102</v>
      </c>
      <c r="G445" s="226">
        <v>28</v>
      </c>
      <c r="H445" s="226">
        <v>72</v>
      </c>
      <c r="I445" s="226">
        <v>45</v>
      </c>
      <c r="J445" s="465">
        <v>100</v>
      </c>
      <c r="K445" s="414" t="s">
        <v>103</v>
      </c>
      <c r="L445" s="12" t="s">
        <v>104</v>
      </c>
      <c r="M445" s="415">
        <f>ROUND(((E445*I445*J445* (G445+H445))/(1000000*3.6)),4)</f>
        <v>6.25E-2</v>
      </c>
      <c r="N445" s="13">
        <f>ROUND(((D445*I445*J445*(G445+H445))/1000000000),5)</f>
        <v>2.2499999999999999E-2</v>
      </c>
      <c r="O445" s="900"/>
      <c r="P445" s="900"/>
    </row>
    <row r="446" spans="1:19" ht="15" customHeight="1" x14ac:dyDescent="0.25">
      <c r="A446" s="1357"/>
      <c r="B446" s="418" t="s">
        <v>105</v>
      </c>
      <c r="C446" s="417" t="s">
        <v>101</v>
      </c>
      <c r="D446" s="422">
        <v>283</v>
      </c>
      <c r="E446" s="422" t="s">
        <v>90</v>
      </c>
      <c r="F446" s="422" t="s">
        <v>102</v>
      </c>
      <c r="G446" s="422">
        <v>28</v>
      </c>
      <c r="H446" s="422">
        <v>72</v>
      </c>
      <c r="I446" s="422">
        <v>46</v>
      </c>
      <c r="J446" s="419">
        <v>28.7</v>
      </c>
      <c r="K446" s="414" t="s">
        <v>103</v>
      </c>
      <c r="L446" s="12" t="s">
        <v>104</v>
      </c>
      <c r="M446" s="13">
        <f>ROUND(((E446*I446*J446* (G446+H446))/(1000000*3.6)),4)</f>
        <v>3.6700000000000003E-2</v>
      </c>
      <c r="N446" s="529">
        <f>ROUND(((D446*I446*J446*(G446+H446))/1000000000),5)</f>
        <v>3.7359999999999997E-2</v>
      </c>
      <c r="O446" s="900"/>
      <c r="P446" s="900"/>
    </row>
    <row r="447" spans="1:19" ht="15" customHeight="1" x14ac:dyDescent="0.25">
      <c r="A447" s="1357"/>
      <c r="B447" s="418"/>
      <c r="C447" s="418"/>
      <c r="D447" s="417"/>
      <c r="E447" s="417"/>
      <c r="F447" s="417"/>
      <c r="G447" s="417"/>
      <c r="H447" s="417"/>
      <c r="I447" s="417"/>
      <c r="J447" s="419">
        <v>35.65</v>
      </c>
      <c r="K447" s="420" t="s">
        <v>106</v>
      </c>
      <c r="L447" s="339" t="s">
        <v>107</v>
      </c>
      <c r="M447" s="422">
        <f>ROUND(((E446*I446*J447* (G446+H446))/(1000000*3.6)),4)</f>
        <v>4.5600000000000002E-2</v>
      </c>
      <c r="N447" s="480">
        <f>ROUND(((D446*I446*J447*(G446+H446))/1000000000),4)</f>
        <v>4.6399999999999997E-2</v>
      </c>
      <c r="O447" s="900"/>
      <c r="P447" s="900"/>
    </row>
    <row r="448" spans="1:19" ht="15" customHeight="1" x14ac:dyDescent="0.25">
      <c r="A448" s="1357"/>
      <c r="B448" s="488"/>
      <c r="C448" s="418"/>
      <c r="D448" s="417"/>
      <c r="E448" s="417"/>
      <c r="F448" s="417"/>
      <c r="G448" s="417"/>
      <c r="H448" s="417"/>
      <c r="I448" s="417"/>
      <c r="J448" s="419">
        <v>35.65</v>
      </c>
      <c r="K448" s="420" t="s">
        <v>108</v>
      </c>
      <c r="L448" s="422" t="s">
        <v>109</v>
      </c>
      <c r="M448" s="422">
        <f>ROUND(((E446*I446*J448* (G446+H446))/(1000000*3.6)),4)</f>
        <v>4.5600000000000002E-2</v>
      </c>
      <c r="N448" s="480">
        <f>ROUND(((D446*I446*J448*(G446+H446))/1000000000),4)</f>
        <v>4.6399999999999997E-2</v>
      </c>
      <c r="O448" s="900"/>
      <c r="P448" s="900"/>
    </row>
    <row r="449" spans="1:16" ht="15" customHeight="1" x14ac:dyDescent="0.25">
      <c r="A449" s="1357"/>
      <c r="B449" s="487" t="s">
        <v>110</v>
      </c>
      <c r="C449" s="413" t="s">
        <v>101</v>
      </c>
      <c r="D449" s="13">
        <v>468</v>
      </c>
      <c r="E449" s="13" t="s">
        <v>122</v>
      </c>
      <c r="F449" s="13" t="s">
        <v>102</v>
      </c>
      <c r="G449" s="13">
        <v>28</v>
      </c>
      <c r="H449" s="13">
        <v>72</v>
      </c>
      <c r="I449" s="13">
        <v>45</v>
      </c>
      <c r="J449" s="227">
        <v>50</v>
      </c>
      <c r="K449" s="434" t="s">
        <v>103</v>
      </c>
      <c r="L449" s="13" t="s">
        <v>104</v>
      </c>
      <c r="M449" s="415">
        <f>ROUND(((E449*I449*J449* (G449+H449))/(1000000*3.6)),4)</f>
        <v>3.1300000000000001E-2</v>
      </c>
      <c r="N449" s="13">
        <f>ROUND(((D449*I449*J449*(G449+H449))/1000000000),4)</f>
        <v>0.1053</v>
      </c>
      <c r="O449" s="900"/>
      <c r="P449" s="900"/>
    </row>
    <row r="450" spans="1:16" ht="15" customHeight="1" x14ac:dyDescent="0.25">
      <c r="A450" s="1357"/>
      <c r="B450" s="488"/>
      <c r="C450" s="418"/>
      <c r="D450" s="417"/>
      <c r="E450" s="417"/>
      <c r="F450" s="417"/>
      <c r="G450" s="417"/>
      <c r="H450" s="417"/>
      <c r="I450" s="417"/>
      <c r="J450" s="419">
        <v>50</v>
      </c>
      <c r="K450" s="428" t="s">
        <v>106</v>
      </c>
      <c r="L450" s="340" t="s">
        <v>107</v>
      </c>
      <c r="M450" s="430">
        <f>ROUND(((E449*I449*J450* (G449+H449))/(1000000*3.6)),4)</f>
        <v>3.1300000000000001E-2</v>
      </c>
      <c r="N450" s="429">
        <f>ROUND(((D449*I449*J450*(G449+H449))/1000000000),4)</f>
        <v>0.1053</v>
      </c>
      <c r="O450" s="900"/>
      <c r="P450" s="900"/>
    </row>
    <row r="451" spans="1:16" ht="15" customHeight="1" x14ac:dyDescent="0.25">
      <c r="A451" s="1352" t="s">
        <v>364</v>
      </c>
      <c r="B451" s="1352"/>
      <c r="C451" s="1352"/>
      <c r="D451" s="1352"/>
      <c r="E451" s="1352"/>
      <c r="F451" s="1352"/>
      <c r="G451" s="1352"/>
      <c r="H451" s="1352"/>
      <c r="I451" s="1352"/>
      <c r="J451" s="1352"/>
      <c r="K451" s="447" t="s">
        <v>106</v>
      </c>
      <c r="L451" s="448" t="s">
        <v>107</v>
      </c>
      <c r="M451" s="449">
        <f>MAX(M447,M450)</f>
        <v>4.5600000000000002E-2</v>
      </c>
      <c r="N451" s="449">
        <f>N447+N450</f>
        <v>0.1517</v>
      </c>
      <c r="O451" s="900"/>
      <c r="P451" s="900"/>
    </row>
    <row r="452" spans="1:16" ht="15" customHeight="1" x14ac:dyDescent="0.25">
      <c r="A452" s="1352"/>
      <c r="B452" s="1352"/>
      <c r="C452" s="1352"/>
      <c r="D452" s="1352"/>
      <c r="E452" s="1352"/>
      <c r="F452" s="1352"/>
      <c r="G452" s="1352"/>
      <c r="H452" s="1352"/>
      <c r="I452" s="1352"/>
      <c r="J452" s="1352"/>
      <c r="K452" s="469" t="s">
        <v>103</v>
      </c>
      <c r="L452" s="452" t="s">
        <v>104</v>
      </c>
      <c r="M452" s="452">
        <f>MAX(M444,M445,M446,M449)</f>
        <v>7.7799999999999994E-2</v>
      </c>
      <c r="N452" s="452">
        <f>N444+N445+N446+N449</f>
        <v>0.17136000000000001</v>
      </c>
      <c r="O452" s="25"/>
      <c r="P452" s="25"/>
    </row>
    <row r="453" spans="1:16" ht="15" customHeight="1" x14ac:dyDescent="0.25">
      <c r="A453" s="1352"/>
      <c r="B453" s="1352"/>
      <c r="C453" s="1352"/>
      <c r="D453" s="1352"/>
      <c r="E453" s="1352"/>
      <c r="F453" s="1352"/>
      <c r="G453" s="1352"/>
      <c r="H453" s="1352"/>
      <c r="I453" s="1352"/>
      <c r="J453" s="1352"/>
      <c r="K453" s="450" t="s">
        <v>108</v>
      </c>
      <c r="L453" s="451" t="s">
        <v>109</v>
      </c>
      <c r="M453" s="452">
        <f>M448</f>
        <v>4.5600000000000002E-2</v>
      </c>
      <c r="N453" s="452">
        <f>N448</f>
        <v>4.6399999999999997E-2</v>
      </c>
      <c r="O453" s="25"/>
      <c r="P453" s="25"/>
    </row>
    <row r="454" spans="1:16" ht="15" customHeight="1" x14ac:dyDescent="0.25">
      <c r="A454" s="1352"/>
      <c r="B454" s="1352"/>
      <c r="C454" s="1352"/>
      <c r="D454" s="1352"/>
      <c r="E454" s="1352"/>
      <c r="F454" s="1352"/>
      <c r="G454" s="1352"/>
      <c r="H454" s="1352"/>
      <c r="I454" s="1352"/>
      <c r="J454" s="1352"/>
      <c r="K454" s="450" t="s">
        <v>111</v>
      </c>
      <c r="L454" s="451" t="s">
        <v>112</v>
      </c>
      <c r="M454" s="452">
        <f>M439</f>
        <v>4.3E-3</v>
      </c>
      <c r="N454" s="452">
        <f>N439</f>
        <v>1.7799999999999999E-3</v>
      </c>
      <c r="O454" s="25"/>
      <c r="P454" s="25"/>
    </row>
    <row r="455" spans="1:16" ht="15" customHeight="1" x14ac:dyDescent="0.25">
      <c r="A455" s="1352"/>
      <c r="B455" s="1352"/>
      <c r="C455" s="1352"/>
      <c r="D455" s="1352"/>
      <c r="E455" s="1352"/>
      <c r="F455" s="1352"/>
      <c r="G455" s="1352"/>
      <c r="H455" s="1352"/>
      <c r="I455" s="1352"/>
      <c r="J455" s="1352"/>
      <c r="K455" s="469" t="s">
        <v>113</v>
      </c>
      <c r="L455" s="452" t="s">
        <v>114</v>
      </c>
      <c r="M455" s="452">
        <f>M438</f>
        <v>4.3E-3</v>
      </c>
      <c r="N455" s="452">
        <f>N438</f>
        <v>1.8E-3</v>
      </c>
      <c r="O455" s="25"/>
      <c r="P455" s="25"/>
    </row>
    <row r="456" spans="1:16" ht="15" customHeight="1" x14ac:dyDescent="0.25">
      <c r="A456" s="1352"/>
      <c r="B456" s="1352"/>
      <c r="C456" s="1352"/>
      <c r="D456" s="1352"/>
      <c r="E456" s="1352"/>
      <c r="F456" s="1352"/>
      <c r="G456" s="1352"/>
      <c r="H456" s="1352"/>
      <c r="I456" s="1352"/>
      <c r="J456" s="1352"/>
      <c r="K456" s="450" t="s">
        <v>115</v>
      </c>
      <c r="L456" s="452" t="s">
        <v>116</v>
      </c>
      <c r="M456" s="452">
        <f>MAX(M440,M443)</f>
        <v>3.5099999999999999E-2</v>
      </c>
      <c r="N456" s="452">
        <f>N440+N443</f>
        <v>1.6199999999999999E-2</v>
      </c>
      <c r="O456" s="25"/>
      <c r="P456" s="25"/>
    </row>
    <row r="457" spans="1:16" ht="15" customHeight="1" x14ac:dyDescent="0.25">
      <c r="A457" s="1352"/>
      <c r="B457" s="1352"/>
      <c r="C457" s="1352"/>
      <c r="D457" s="1352"/>
      <c r="E457" s="1352"/>
      <c r="F457" s="1352"/>
      <c r="G457" s="1352"/>
      <c r="H457" s="1352"/>
      <c r="I457" s="1352"/>
      <c r="J457" s="1352"/>
      <c r="K457" s="469" t="s">
        <v>120</v>
      </c>
      <c r="L457" s="453" t="s">
        <v>121</v>
      </c>
      <c r="M457" s="452">
        <f>M441</f>
        <v>1.7000000000000001E-2</v>
      </c>
      <c r="N457" s="452">
        <f>N441</f>
        <v>7.1000000000000004E-3</v>
      </c>
      <c r="O457" s="25"/>
      <c r="P457" s="25"/>
    </row>
    <row r="458" spans="1:16" ht="15" customHeight="1" x14ac:dyDescent="0.25">
      <c r="A458" s="1352"/>
      <c r="B458" s="1352"/>
      <c r="C458" s="1352"/>
      <c r="D458" s="1352"/>
      <c r="E458" s="1352"/>
      <c r="F458" s="1352"/>
      <c r="G458" s="1352"/>
      <c r="H458" s="1352"/>
      <c r="I458" s="1352"/>
      <c r="J458" s="1352"/>
      <c r="K458" s="454" t="s">
        <v>117</v>
      </c>
      <c r="L458" s="455" t="s">
        <v>118</v>
      </c>
      <c r="M458" s="456">
        <f>M442</f>
        <v>4.5699999999999998E-2</v>
      </c>
      <c r="N458" s="456">
        <f>N442</f>
        <v>1.9199999999999998E-2</v>
      </c>
      <c r="O458" s="25">
        <f>SUM(M451:M458)</f>
        <v>0.27539999999999998</v>
      </c>
      <c r="P458" s="25">
        <f>SUM(N451:N458)</f>
        <v>0.41554000000000002</v>
      </c>
    </row>
    <row r="459" spans="1:16" ht="15" customHeight="1" x14ac:dyDescent="0.25">
      <c r="A459" s="1353" t="s">
        <v>213</v>
      </c>
      <c r="B459" s="1358"/>
      <c r="C459" s="1358"/>
      <c r="D459" s="1358"/>
      <c r="E459" s="1358"/>
      <c r="F459" s="1358"/>
      <c r="G459" s="1358"/>
      <c r="H459" s="1358"/>
      <c r="I459" s="1358"/>
      <c r="J459" s="1358"/>
      <c r="K459" s="1358"/>
      <c r="L459" s="1358"/>
      <c r="M459" s="1358"/>
      <c r="N459" s="1359"/>
      <c r="O459" s="908"/>
      <c r="P459" s="908"/>
    </row>
    <row r="460" spans="1:16" ht="15" customHeight="1" x14ac:dyDescent="0.25">
      <c r="A460" s="1360">
        <v>7022</v>
      </c>
      <c r="B460" s="507" t="s">
        <v>100</v>
      </c>
      <c r="C460" s="464" t="s">
        <v>101</v>
      </c>
      <c r="D460" s="226">
        <v>294</v>
      </c>
      <c r="E460" s="226" t="s">
        <v>122</v>
      </c>
      <c r="F460" s="226" t="s">
        <v>102</v>
      </c>
      <c r="G460" s="226">
        <v>28</v>
      </c>
      <c r="H460" s="226">
        <v>72</v>
      </c>
      <c r="I460" s="226">
        <v>45</v>
      </c>
      <c r="J460" s="465">
        <v>100</v>
      </c>
      <c r="K460" s="466" t="s">
        <v>103</v>
      </c>
      <c r="L460" s="183" t="s">
        <v>104</v>
      </c>
      <c r="M460" s="467">
        <f>ROUND(((E460*I460*J460* (G460+H460))/(1000000*3.6)),4)</f>
        <v>6.25E-2</v>
      </c>
      <c r="N460" s="226">
        <f>ROUND(((D460*I460*J460*(G460+H460))/1000000000),5)</f>
        <v>0.1323</v>
      </c>
      <c r="O460" s="900"/>
      <c r="P460" s="900"/>
    </row>
    <row r="461" spans="1:16" ht="15" customHeight="1" x14ac:dyDescent="0.25">
      <c r="A461" s="1368"/>
      <c r="B461" s="487" t="s">
        <v>110</v>
      </c>
      <c r="C461" s="413" t="s">
        <v>101</v>
      </c>
      <c r="D461" s="13">
        <v>522</v>
      </c>
      <c r="E461" s="13" t="s">
        <v>122</v>
      </c>
      <c r="F461" s="13" t="s">
        <v>102</v>
      </c>
      <c r="G461" s="13">
        <v>28</v>
      </c>
      <c r="H461" s="13">
        <v>72</v>
      </c>
      <c r="I461" s="13">
        <v>45</v>
      </c>
      <c r="J461" s="227">
        <v>50</v>
      </c>
      <c r="K461" s="434" t="s">
        <v>103</v>
      </c>
      <c r="L461" s="13" t="s">
        <v>104</v>
      </c>
      <c r="M461" s="415">
        <f>ROUND(((E461*I461*J461* (G461+H461))/(1000000*3.6)),4)</f>
        <v>3.1300000000000001E-2</v>
      </c>
      <c r="N461" s="13">
        <f>ROUND(((D461*I461*J461*(G461+H461))/1000000000),4)</f>
        <v>0.11749999999999999</v>
      </c>
      <c r="O461" s="900"/>
      <c r="P461" s="900"/>
    </row>
    <row r="462" spans="1:16" ht="15" customHeight="1" x14ac:dyDescent="0.25">
      <c r="A462" s="1369"/>
      <c r="B462" s="481"/>
      <c r="C462" s="425"/>
      <c r="D462" s="426"/>
      <c r="E462" s="426"/>
      <c r="F462" s="426"/>
      <c r="G462" s="426"/>
      <c r="H462" s="426"/>
      <c r="I462" s="426"/>
      <c r="J462" s="427">
        <v>50</v>
      </c>
      <c r="K462" s="428" t="s">
        <v>106</v>
      </c>
      <c r="L462" s="340" t="s">
        <v>107</v>
      </c>
      <c r="M462" s="430">
        <f>ROUND(((E461*I461*J462* (G461+H461))/(1000000*3.6)),4)</f>
        <v>3.1300000000000001E-2</v>
      </c>
      <c r="N462" s="429">
        <f>ROUND(((D461*I461*J462*(G461+H461))/1000000000),4)</f>
        <v>0.11749999999999999</v>
      </c>
      <c r="O462" s="900"/>
      <c r="P462" s="900"/>
    </row>
    <row r="463" spans="1:16" ht="15" customHeight="1" x14ac:dyDescent="0.25">
      <c r="A463" s="1332" t="s">
        <v>398</v>
      </c>
      <c r="B463" s="1333"/>
      <c r="C463" s="1333"/>
      <c r="D463" s="1333"/>
      <c r="E463" s="1333"/>
      <c r="F463" s="1333"/>
      <c r="G463" s="1333"/>
      <c r="H463" s="1333"/>
      <c r="I463" s="1333"/>
      <c r="J463" s="1334"/>
      <c r="K463" s="447" t="s">
        <v>103</v>
      </c>
      <c r="L463" s="448" t="s">
        <v>104</v>
      </c>
      <c r="M463" s="448">
        <f>MAX(M460,M461)</f>
        <v>6.25E-2</v>
      </c>
      <c r="N463" s="448">
        <f>N460+N461</f>
        <v>0.24979999999999999</v>
      </c>
      <c r="O463" s="25"/>
      <c r="P463" s="25"/>
    </row>
    <row r="464" spans="1:16" ht="15" customHeight="1" x14ac:dyDescent="0.25">
      <c r="A464" s="1335"/>
      <c r="B464" s="1336"/>
      <c r="C464" s="1336"/>
      <c r="D464" s="1336"/>
      <c r="E464" s="1336"/>
      <c r="F464" s="1336"/>
      <c r="G464" s="1336"/>
      <c r="H464" s="1336"/>
      <c r="I464" s="1336"/>
      <c r="J464" s="1337"/>
      <c r="K464" s="469" t="s">
        <v>106</v>
      </c>
      <c r="L464" s="452" t="s">
        <v>107</v>
      </c>
      <c r="M464" s="451">
        <f>M462</f>
        <v>3.1300000000000001E-2</v>
      </c>
      <c r="N464" s="451">
        <f>N462</f>
        <v>0.11749999999999999</v>
      </c>
      <c r="O464" s="25">
        <f>SUM(M463:M464)</f>
        <v>9.3799999999999994E-2</v>
      </c>
      <c r="P464" s="25">
        <f>SUM(N463:N464)</f>
        <v>0.36729999999999996</v>
      </c>
    </row>
    <row r="465" spans="1:17" ht="15" customHeight="1" x14ac:dyDescent="0.25">
      <c r="A465" s="1393" t="s">
        <v>215</v>
      </c>
      <c r="B465" s="1394"/>
      <c r="C465" s="1394"/>
      <c r="D465" s="1394"/>
      <c r="E465" s="1394"/>
      <c r="F465" s="1394"/>
      <c r="G465" s="1394"/>
      <c r="H465" s="1394"/>
      <c r="I465" s="1394"/>
      <c r="J465" s="1394"/>
      <c r="K465" s="1394"/>
      <c r="L465" s="1394"/>
      <c r="M465" s="1394"/>
      <c r="N465" s="1395"/>
      <c r="O465" s="908"/>
      <c r="P465" s="908"/>
    </row>
    <row r="466" spans="1:17" ht="30" customHeight="1" x14ac:dyDescent="0.25">
      <c r="A466" s="1360">
        <v>7028</v>
      </c>
      <c r="B466" s="457" t="s">
        <v>211</v>
      </c>
      <c r="C466" s="458" t="s">
        <v>101</v>
      </c>
      <c r="D466" s="12">
        <v>5</v>
      </c>
      <c r="E466" s="12" t="s">
        <v>122</v>
      </c>
      <c r="F466" s="183" t="s">
        <v>102</v>
      </c>
      <c r="G466" s="183">
        <v>28</v>
      </c>
      <c r="H466" s="183">
        <v>72</v>
      </c>
      <c r="I466" s="12">
        <v>45</v>
      </c>
      <c r="J466" s="12">
        <v>100</v>
      </c>
      <c r="K466" s="459" t="s">
        <v>205</v>
      </c>
      <c r="L466" s="183" t="s">
        <v>59</v>
      </c>
      <c r="M466" s="183">
        <f>ROUND(((E466*I466*J466* (G466+H466))/(1000000*3.6)),4)</f>
        <v>6.25E-2</v>
      </c>
      <c r="N466" s="183">
        <f>ROUND(((D466*I466*J466*(G466+H466))/1000000000),4)</f>
        <v>2.3E-3</v>
      </c>
      <c r="O466" s="102"/>
      <c r="P466" s="25"/>
    </row>
    <row r="467" spans="1:17" ht="30" customHeight="1" x14ac:dyDescent="0.25">
      <c r="A467" s="1361"/>
      <c r="B467" s="460" t="s">
        <v>212</v>
      </c>
      <c r="C467" s="458" t="s">
        <v>101</v>
      </c>
      <c r="D467" s="12">
        <v>3</v>
      </c>
      <c r="E467" s="12" t="s">
        <v>122</v>
      </c>
      <c r="F467" s="183" t="s">
        <v>102</v>
      </c>
      <c r="G467" s="183">
        <v>28</v>
      </c>
      <c r="H467" s="183">
        <v>72</v>
      </c>
      <c r="I467" s="12">
        <v>45</v>
      </c>
      <c r="J467" s="12">
        <v>100</v>
      </c>
      <c r="K467" s="459" t="s">
        <v>205</v>
      </c>
      <c r="L467" s="183" t="s">
        <v>59</v>
      </c>
      <c r="M467" s="183">
        <f>ROUND(((E467*I467*J467* (G467+H467))/(1000000*3.6)),4)</f>
        <v>6.25E-2</v>
      </c>
      <c r="N467" s="183">
        <f>ROUND(((D467*I467*J467*(G467+H467))/1000000000),4)</f>
        <v>1.4E-3</v>
      </c>
      <c r="O467" s="102"/>
      <c r="P467" s="25"/>
    </row>
    <row r="468" spans="1:17" ht="15" customHeight="1" x14ac:dyDescent="0.25">
      <c r="A468" s="1361"/>
      <c r="B468" s="507" t="s">
        <v>100</v>
      </c>
      <c r="C468" s="464" t="s">
        <v>101</v>
      </c>
      <c r="D468" s="226">
        <v>600</v>
      </c>
      <c r="E468" s="226" t="s">
        <v>379</v>
      </c>
      <c r="F468" s="226" t="s">
        <v>102</v>
      </c>
      <c r="G468" s="226">
        <v>28</v>
      </c>
      <c r="H468" s="226">
        <v>72</v>
      </c>
      <c r="I468" s="226">
        <v>45</v>
      </c>
      <c r="J468" s="465">
        <v>100</v>
      </c>
      <c r="K468" s="414" t="s">
        <v>103</v>
      </c>
      <c r="L468" s="12" t="s">
        <v>104</v>
      </c>
      <c r="M468" s="415">
        <f>ROUND(((E468*I468*J468* (G468+H468))/(1000000*3.6)),4)</f>
        <v>0.22500000000000001</v>
      </c>
      <c r="N468" s="13">
        <f>ROUND(((D468*I468*J468*(G468+H468))/1000000000),5)</f>
        <v>0.27</v>
      </c>
      <c r="O468" s="356"/>
      <c r="P468" s="900"/>
    </row>
    <row r="469" spans="1:17" ht="15" customHeight="1" x14ac:dyDescent="0.25">
      <c r="A469" s="1361"/>
      <c r="B469" s="418" t="s">
        <v>105</v>
      </c>
      <c r="C469" s="417" t="s">
        <v>101</v>
      </c>
      <c r="D469" s="422">
        <v>156.6</v>
      </c>
      <c r="E469" s="422" t="s">
        <v>372</v>
      </c>
      <c r="F469" s="422" t="s">
        <v>102</v>
      </c>
      <c r="G469" s="422">
        <v>28</v>
      </c>
      <c r="H469" s="422">
        <v>72</v>
      </c>
      <c r="I469" s="422">
        <v>46</v>
      </c>
      <c r="J469" s="419">
        <v>28.7</v>
      </c>
      <c r="K469" s="414" t="s">
        <v>103</v>
      </c>
      <c r="L469" s="12" t="s">
        <v>104</v>
      </c>
      <c r="M469" s="13">
        <f>ROUND(((E469*I469*J469* (G469+H469))/(1000000*3.6)),4)</f>
        <v>4.3999999999999997E-2</v>
      </c>
      <c r="N469" s="529">
        <f>ROUND(((D469*I469*J469*(G469+H469))/1000000000),5)</f>
        <v>2.0670000000000001E-2</v>
      </c>
      <c r="O469" s="356"/>
      <c r="P469" s="900"/>
    </row>
    <row r="470" spans="1:17" ht="15" customHeight="1" x14ac:dyDescent="0.25">
      <c r="A470" s="1361"/>
      <c r="B470" s="418"/>
      <c r="C470" s="418"/>
      <c r="D470" s="417"/>
      <c r="E470" s="417"/>
      <c r="F470" s="417"/>
      <c r="G470" s="417"/>
      <c r="H470" s="417"/>
      <c r="I470" s="417"/>
      <c r="J470" s="419">
        <v>35.65</v>
      </c>
      <c r="K470" s="420" t="s">
        <v>106</v>
      </c>
      <c r="L470" s="339" t="s">
        <v>107</v>
      </c>
      <c r="M470" s="422">
        <f>ROUND(((E469*I469*J470* (G469+H469))/(1000000*3.6)),4)</f>
        <v>5.4699999999999999E-2</v>
      </c>
      <c r="N470" s="480">
        <f>ROUND(((D469*I469*J470*(G469+H469))/1000000000),4)</f>
        <v>2.5700000000000001E-2</v>
      </c>
      <c r="O470" s="356"/>
      <c r="P470" s="900"/>
    </row>
    <row r="471" spans="1:17" ht="15" customHeight="1" x14ac:dyDescent="0.25">
      <c r="A471" s="1361"/>
      <c r="B471" s="488"/>
      <c r="C471" s="418"/>
      <c r="D471" s="417"/>
      <c r="E471" s="417"/>
      <c r="F471" s="417"/>
      <c r="G471" s="417"/>
      <c r="H471" s="417"/>
      <c r="I471" s="417"/>
      <c r="J471" s="419">
        <v>35.65</v>
      </c>
      <c r="K471" s="420" t="s">
        <v>108</v>
      </c>
      <c r="L471" s="422" t="s">
        <v>109</v>
      </c>
      <c r="M471" s="422">
        <f>ROUND(((E469*I469*J471* (G469+H469))/(1000000*3.6)),4)</f>
        <v>5.4699999999999999E-2</v>
      </c>
      <c r="N471" s="480">
        <f>ROUND(((D469*I469*J471*(G469+H469))/1000000000),4)</f>
        <v>2.5700000000000001E-2</v>
      </c>
      <c r="O471" s="356"/>
      <c r="P471" s="900"/>
    </row>
    <row r="472" spans="1:17" ht="15" customHeight="1" x14ac:dyDescent="0.25">
      <c r="A472" s="1361"/>
      <c r="B472" s="562" t="s">
        <v>206</v>
      </c>
      <c r="C472" s="413" t="s">
        <v>101</v>
      </c>
      <c r="D472" s="13">
        <v>3</v>
      </c>
      <c r="E472" s="415">
        <v>0.5</v>
      </c>
      <c r="F472" s="13" t="s">
        <v>102</v>
      </c>
      <c r="G472" s="13">
        <v>28</v>
      </c>
      <c r="H472" s="13">
        <v>72</v>
      </c>
      <c r="I472" s="415">
        <v>45</v>
      </c>
      <c r="J472" s="13">
        <v>50</v>
      </c>
      <c r="K472" s="470" t="s">
        <v>103</v>
      </c>
      <c r="L472" s="344" t="s">
        <v>104</v>
      </c>
      <c r="M472" s="415">
        <f>ROUND(((E472*I472*J472* (G472+H472))/(1000000*3.6)),4)</f>
        <v>3.1300000000000001E-2</v>
      </c>
      <c r="N472" s="13">
        <f>ROUND(((D472*I472*J472*(G472+H472))/1000000000),4)</f>
        <v>6.9999999999999999E-4</v>
      </c>
      <c r="O472" s="356"/>
      <c r="P472" s="900"/>
    </row>
    <row r="473" spans="1:17" ht="15" customHeight="1" x14ac:dyDescent="0.25">
      <c r="A473" s="1361"/>
      <c r="B473" s="563" t="s">
        <v>127</v>
      </c>
      <c r="C473" s="485"/>
      <c r="D473" s="426"/>
      <c r="E473" s="26"/>
      <c r="F473" s="426"/>
      <c r="G473" s="26"/>
      <c r="H473" s="426"/>
      <c r="I473" s="26"/>
      <c r="J473" s="429">
        <v>50</v>
      </c>
      <c r="K473" s="486" t="s">
        <v>106</v>
      </c>
      <c r="L473" s="338">
        <v>2752</v>
      </c>
      <c r="M473" s="430">
        <f>ROUND(((E472*I472*J473* (G472+H472))/(1000000*3.6)),4)</f>
        <v>3.1300000000000001E-2</v>
      </c>
      <c r="N473" s="429">
        <f>ROUND(((D472*I472*J473*(G472+H472))/1000000000),4)</f>
        <v>6.9999999999999999E-4</v>
      </c>
      <c r="O473" s="356"/>
      <c r="P473" s="900"/>
    </row>
    <row r="474" spans="1:17" ht="15" customHeight="1" x14ac:dyDescent="0.25">
      <c r="A474" s="1361"/>
      <c r="B474" s="487" t="s">
        <v>110</v>
      </c>
      <c r="C474" s="413" t="s">
        <v>101</v>
      </c>
      <c r="D474" s="13">
        <v>1300</v>
      </c>
      <c r="E474" s="13" t="s">
        <v>379</v>
      </c>
      <c r="F474" s="13" t="s">
        <v>102</v>
      </c>
      <c r="G474" s="13">
        <v>28</v>
      </c>
      <c r="H474" s="13">
        <v>72</v>
      </c>
      <c r="I474" s="13">
        <v>45</v>
      </c>
      <c r="J474" s="227">
        <v>50</v>
      </c>
      <c r="K474" s="434" t="s">
        <v>103</v>
      </c>
      <c r="L474" s="13" t="s">
        <v>104</v>
      </c>
      <c r="M474" s="415">
        <f>ROUND(((E474*I474*J474* (G474+H474))/(1000000*3.6)),4)</f>
        <v>0.1125</v>
      </c>
      <c r="N474" s="13">
        <f>ROUND(((D474*I474*J474*(G474+H474))/1000000000),4)</f>
        <v>0.29249999999999998</v>
      </c>
      <c r="O474" s="356"/>
      <c r="P474" s="900"/>
    </row>
    <row r="475" spans="1:17" ht="15" customHeight="1" x14ac:dyDescent="0.25">
      <c r="A475" s="1377"/>
      <c r="B475" s="481"/>
      <c r="C475" s="425"/>
      <c r="D475" s="426"/>
      <c r="E475" s="426"/>
      <c r="F475" s="426"/>
      <c r="G475" s="426"/>
      <c r="H475" s="426"/>
      <c r="I475" s="426"/>
      <c r="J475" s="427">
        <v>50</v>
      </c>
      <c r="K475" s="428" t="s">
        <v>106</v>
      </c>
      <c r="L475" s="340" t="s">
        <v>107</v>
      </c>
      <c r="M475" s="430">
        <f>ROUND(((E474*I474*J475* (G474+H474))/(1000000*3.6)),4)</f>
        <v>0.1125</v>
      </c>
      <c r="N475" s="429">
        <f>ROUND(((D474*I474*J475*(G474+H474))/1000000000),4)</f>
        <v>0.29249999999999998</v>
      </c>
      <c r="O475" s="356"/>
      <c r="P475" s="900"/>
    </row>
    <row r="476" spans="1:17" ht="15" customHeight="1" x14ac:dyDescent="0.25">
      <c r="A476" s="1352" t="s">
        <v>403</v>
      </c>
      <c r="B476" s="1352"/>
      <c r="C476" s="1352"/>
      <c r="D476" s="1352"/>
      <c r="E476" s="1352"/>
      <c r="F476" s="1352"/>
      <c r="G476" s="1352"/>
      <c r="H476" s="1352"/>
      <c r="I476" s="1352"/>
      <c r="J476" s="1352"/>
      <c r="K476" s="447" t="s">
        <v>106</v>
      </c>
      <c r="L476" s="448" t="s">
        <v>107</v>
      </c>
      <c r="M476" s="449">
        <f>MAX(M473,M470,M475)</f>
        <v>0.1125</v>
      </c>
      <c r="N476" s="449">
        <f>N473+N475+N470</f>
        <v>0.31889999999999996</v>
      </c>
      <c r="O476" s="356"/>
      <c r="P476" s="356"/>
    </row>
    <row r="477" spans="1:17" ht="15" customHeight="1" x14ac:dyDescent="0.25">
      <c r="A477" s="1352"/>
      <c r="B477" s="1352"/>
      <c r="C477" s="1352"/>
      <c r="D477" s="1352"/>
      <c r="E477" s="1352"/>
      <c r="F477" s="1352"/>
      <c r="G477" s="1352"/>
      <c r="H477" s="1352"/>
      <c r="I477" s="1352"/>
      <c r="J477" s="1352"/>
      <c r="K477" s="564" t="s">
        <v>108</v>
      </c>
      <c r="L477" s="451" t="s">
        <v>109</v>
      </c>
      <c r="M477" s="451">
        <f>M471</f>
        <v>5.4699999999999999E-2</v>
      </c>
      <c r="N477" s="451">
        <f>N471</f>
        <v>2.5700000000000001E-2</v>
      </c>
      <c r="O477" s="356"/>
      <c r="P477" s="356"/>
    </row>
    <row r="478" spans="1:17" ht="15" customHeight="1" x14ac:dyDescent="0.25">
      <c r="A478" s="1352"/>
      <c r="B478" s="1352"/>
      <c r="C478" s="1352"/>
      <c r="D478" s="1352"/>
      <c r="E478" s="1352"/>
      <c r="F478" s="1352"/>
      <c r="G478" s="1352"/>
      <c r="H478" s="1352"/>
      <c r="I478" s="1352"/>
      <c r="J478" s="1352"/>
      <c r="K478" s="469" t="s">
        <v>103</v>
      </c>
      <c r="L478" s="452" t="s">
        <v>104</v>
      </c>
      <c r="M478" s="452">
        <f>MAX(M468,M469,M472,M474)</f>
        <v>0.22500000000000001</v>
      </c>
      <c r="N478" s="452">
        <f>N468+N472+N474+N469</f>
        <v>0.58386999999999989</v>
      </c>
      <c r="O478" s="102"/>
      <c r="P478" s="102"/>
    </row>
    <row r="479" spans="1:17" ht="30" customHeight="1" x14ac:dyDescent="0.25">
      <c r="A479" s="1352"/>
      <c r="B479" s="1352"/>
      <c r="C479" s="1352"/>
      <c r="D479" s="1352"/>
      <c r="E479" s="1352"/>
      <c r="F479" s="1352"/>
      <c r="G479" s="1352"/>
      <c r="H479" s="1352"/>
      <c r="I479" s="1352"/>
      <c r="J479" s="1352"/>
      <c r="K479" s="475" t="s">
        <v>205</v>
      </c>
      <c r="L479" s="456" t="s">
        <v>59</v>
      </c>
      <c r="M479" s="456">
        <f>MAX(M466,M467)</f>
        <v>6.25E-2</v>
      </c>
      <c r="N479" s="456">
        <f>N466+N467</f>
        <v>3.7000000000000002E-3</v>
      </c>
      <c r="O479" s="102">
        <f>SUM(M476:M479)</f>
        <v>0.45469999999999999</v>
      </c>
      <c r="P479" s="25">
        <f>SUM(N476:N479)</f>
        <v>0.93216999999999994</v>
      </c>
    </row>
    <row r="480" spans="1:17" x14ac:dyDescent="0.25">
      <c r="O480" s="909">
        <f>SUM(O451:O479)</f>
        <v>0.82389999999999997</v>
      </c>
      <c r="P480" s="909">
        <f>SUM(P451:P479)</f>
        <v>1.7150099999999999</v>
      </c>
      <c r="Q480" s="910">
        <v>2029</v>
      </c>
    </row>
  </sheetData>
  <mergeCells count="139">
    <mergeCell ref="A1:N1"/>
    <mergeCell ref="A48:N48"/>
    <mergeCell ref="A466:A475"/>
    <mergeCell ref="A476:J479"/>
    <mergeCell ref="A349:N349"/>
    <mergeCell ref="B363:B365"/>
    <mergeCell ref="A350:A365"/>
    <mergeCell ref="A366:J372"/>
    <mergeCell ref="A460:A462"/>
    <mergeCell ref="A465:N465"/>
    <mergeCell ref="A459:N459"/>
    <mergeCell ref="A373:N373"/>
    <mergeCell ref="A374:A377"/>
    <mergeCell ref="A378:J380"/>
    <mergeCell ref="A381:N381"/>
    <mergeCell ref="B382:B384"/>
    <mergeCell ref="A391:N391"/>
    <mergeCell ref="A409:N409"/>
    <mergeCell ref="A410:A427"/>
    <mergeCell ref="A428:J435"/>
    <mergeCell ref="A394:J394"/>
    <mergeCell ref="A392:A393"/>
    <mergeCell ref="A396:A402"/>
    <mergeCell ref="A403:J408"/>
    <mergeCell ref="A51:A62"/>
    <mergeCell ref="A111:N111"/>
    <mergeCell ref="A112:N112"/>
    <mergeCell ref="A113:A122"/>
    <mergeCell ref="A123:J129"/>
    <mergeCell ref="A71:N71"/>
    <mergeCell ref="A87:N87"/>
    <mergeCell ref="A290:A295"/>
    <mergeCell ref="A50:N50"/>
    <mergeCell ref="A174:J180"/>
    <mergeCell ref="A181:N181"/>
    <mergeCell ref="B185:B186"/>
    <mergeCell ref="B191:B194"/>
    <mergeCell ref="A182:A195"/>
    <mergeCell ref="A196:J201"/>
    <mergeCell ref="A75:N75"/>
    <mergeCell ref="A76:A81"/>
    <mergeCell ref="A296:J299"/>
    <mergeCell ref="A105:N105"/>
    <mergeCell ref="A106:A108"/>
    <mergeCell ref="A109:J110"/>
    <mergeCell ref="A88:A89"/>
    <mergeCell ref="A90:J90"/>
    <mergeCell ref="A63:J70"/>
    <mergeCell ref="A91:N91"/>
    <mergeCell ref="A99:J104"/>
    <mergeCell ref="A92:A98"/>
    <mergeCell ref="A72:A74"/>
    <mergeCell ref="A130:N130"/>
    <mergeCell ref="A131:A133"/>
    <mergeCell ref="A159:N159"/>
    <mergeCell ref="A160:A173"/>
    <mergeCell ref="B171:B173"/>
    <mergeCell ref="A238:N238"/>
    <mergeCell ref="J45:J46"/>
    <mergeCell ref="K45:K46"/>
    <mergeCell ref="L45:L46"/>
    <mergeCell ref="M45:N45"/>
    <mergeCell ref="A387:J390"/>
    <mergeCell ref="A202:N202"/>
    <mergeCell ref="A205:J205"/>
    <mergeCell ref="A203:A204"/>
    <mergeCell ref="A382:A386"/>
    <mergeCell ref="A206:N206"/>
    <mergeCell ref="A224:N224"/>
    <mergeCell ref="A310:N310"/>
    <mergeCell ref="A207:A217"/>
    <mergeCell ref="A218:J223"/>
    <mergeCell ref="A225:A231"/>
    <mergeCell ref="A232:J237"/>
    <mergeCell ref="A239:A245"/>
    <mergeCell ref="A246:J251"/>
    <mergeCell ref="A253:N253"/>
    <mergeCell ref="A254:A268"/>
    <mergeCell ref="A289:N289"/>
    <mergeCell ref="A307:J309"/>
    <mergeCell ref="A269:J276"/>
    <mergeCell ref="A300:N300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A35:N35"/>
    <mergeCell ref="A31:N31"/>
    <mergeCell ref="A26:N26"/>
    <mergeCell ref="A20:N20"/>
    <mergeCell ref="B412:B413"/>
    <mergeCell ref="A49:N49"/>
    <mergeCell ref="A82:J86"/>
    <mergeCell ref="A451:J458"/>
    <mergeCell ref="A437:N437"/>
    <mergeCell ref="A438:A450"/>
    <mergeCell ref="A134:N134"/>
    <mergeCell ref="A135:A151"/>
    <mergeCell ref="B149:B151"/>
    <mergeCell ref="A152:J158"/>
    <mergeCell ref="A277:N277"/>
    <mergeCell ref="A278:A285"/>
    <mergeCell ref="A286:J288"/>
    <mergeCell ref="A311:A338"/>
    <mergeCell ref="A339:J348"/>
    <mergeCell ref="A301:A306"/>
    <mergeCell ref="A252:N252"/>
    <mergeCell ref="A436:N436"/>
    <mergeCell ref="A395:N395"/>
    <mergeCell ref="A44:N44"/>
    <mergeCell ref="A463:J464"/>
    <mergeCell ref="A42:O42"/>
    <mergeCell ref="A3:N3"/>
    <mergeCell ref="A4:N4"/>
    <mergeCell ref="A6:N6"/>
    <mergeCell ref="A7:N7"/>
    <mergeCell ref="A14:N14"/>
    <mergeCell ref="A15:N15"/>
    <mergeCell ref="A17:N17"/>
    <mergeCell ref="A9:N9"/>
    <mergeCell ref="A10:N10"/>
    <mergeCell ref="A11:N11"/>
    <mergeCell ref="A12:N12"/>
    <mergeCell ref="A22:N22"/>
    <mergeCell ref="A23:N23"/>
    <mergeCell ref="A25:N25"/>
    <mergeCell ref="A28:N28"/>
    <mergeCell ref="A19:N19"/>
    <mergeCell ref="A30:P30"/>
    <mergeCell ref="A32:P32"/>
    <mergeCell ref="A34:P34"/>
    <mergeCell ref="A37:N37"/>
    <mergeCell ref="A39:N39"/>
    <mergeCell ref="A40:N40"/>
  </mergeCells>
  <pageMargins left="0.31496062992125984" right="0.31496062992125984" top="0.78740157480314965" bottom="0.39370078740157483" header="0.31496062992125984" footer="0.19685039370078741"/>
  <pageSetup paperSize="9" firstPageNumber="60" orientation="landscape" useFirstPageNumber="1" r:id="rId1"/>
  <headerFoot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6CE1B-8BF7-4B2C-8A49-367BF2FC1BC9}">
  <sheetPr>
    <tabColor theme="0"/>
  </sheetPr>
  <dimension ref="A1:W388"/>
  <sheetViews>
    <sheetView view="pageBreakPreview" topLeftCell="A27" zoomScale="85" zoomScaleNormal="100" zoomScaleSheetLayoutView="85" workbookViewId="0">
      <selection activeCell="A34" sqref="A34:K40"/>
    </sheetView>
  </sheetViews>
  <sheetFormatPr defaultRowHeight="15" x14ac:dyDescent="0.25"/>
  <cols>
    <col min="2" max="2" width="15.42578125" customWidth="1"/>
    <col min="3" max="3" width="17.5703125" customWidth="1"/>
    <col min="4" max="4" width="8.42578125" customWidth="1"/>
    <col min="5" max="5" width="10.7109375" style="2" customWidth="1"/>
    <col min="6" max="6" width="8.5703125" customWidth="1"/>
    <col min="7" max="7" width="25.28515625" customWidth="1"/>
    <col min="8" max="8" width="7.140625" customWidth="1"/>
    <col min="9" max="9" width="8" customWidth="1"/>
    <col min="10" max="10" width="12.85546875" customWidth="1"/>
    <col min="11" max="11" width="14.7109375" customWidth="1"/>
    <col min="12" max="12" width="14.7109375" style="3" customWidth="1"/>
    <col min="13" max="13" width="11.28515625" style="3" bestFit="1" customWidth="1"/>
    <col min="14" max="17" width="9.140625" style="3"/>
  </cols>
  <sheetData>
    <row r="1" spans="1:23" ht="39.75" customHeight="1" x14ac:dyDescent="0.3">
      <c r="A1" s="1438" t="s">
        <v>821</v>
      </c>
      <c r="B1" s="1438"/>
      <c r="C1" s="1438"/>
      <c r="D1" s="1438"/>
      <c r="E1" s="1438"/>
      <c r="F1" s="1438"/>
      <c r="G1" s="1438"/>
      <c r="H1" s="1438"/>
      <c r="I1" s="1438"/>
      <c r="J1" s="1438"/>
      <c r="K1" s="1438"/>
      <c r="L1" s="913"/>
    </row>
    <row r="3" spans="1:23" s="71" customFormat="1" ht="14.25" customHeight="1" x14ac:dyDescent="0.25">
      <c r="A3" s="1439" t="s">
        <v>611</v>
      </c>
      <c r="B3" s="1439"/>
      <c r="C3" s="1439"/>
      <c r="D3" s="1439"/>
      <c r="E3" s="1439"/>
      <c r="F3" s="1439"/>
      <c r="G3" s="1439"/>
      <c r="H3" s="1439"/>
      <c r="I3" s="1439"/>
      <c r="J3" s="1439"/>
      <c r="K3" s="1439"/>
      <c r="L3" s="1439"/>
      <c r="M3" s="1439"/>
      <c r="N3" s="1439"/>
      <c r="O3" s="1439"/>
      <c r="P3" s="1439"/>
      <c r="Q3" s="914"/>
    </row>
    <row r="4" spans="1:23" s="71" customFormat="1" ht="33.75" customHeight="1" x14ac:dyDescent="0.25">
      <c r="A4" s="1440" t="s">
        <v>812</v>
      </c>
      <c r="B4" s="1440"/>
      <c r="C4" s="1440"/>
      <c r="D4" s="1440"/>
      <c r="E4" s="1440"/>
      <c r="F4" s="1440"/>
      <c r="G4" s="1440"/>
      <c r="H4" s="1440"/>
      <c r="I4" s="1440"/>
      <c r="J4" s="1440"/>
      <c r="K4" s="1440"/>
      <c r="L4" s="915"/>
      <c r="M4" s="916"/>
      <c r="N4" s="916"/>
      <c r="O4" s="916"/>
      <c r="P4" s="916"/>
      <c r="Q4" s="916"/>
      <c r="R4" s="73"/>
    </row>
    <row r="5" spans="1:23" s="71" customFormat="1" ht="12.75" customHeight="1" x14ac:dyDescent="0.25">
      <c r="A5" s="99"/>
      <c r="B5" s="99"/>
      <c r="C5" s="99"/>
      <c r="D5" s="99"/>
      <c r="E5" s="98"/>
      <c r="F5" s="99"/>
      <c r="G5" s="99"/>
      <c r="H5" s="99"/>
      <c r="I5" s="99"/>
      <c r="J5" s="99"/>
      <c r="K5" s="99"/>
      <c r="L5" s="915"/>
      <c r="M5" s="916"/>
      <c r="N5" s="916"/>
      <c r="O5" s="916"/>
      <c r="P5" s="916"/>
      <c r="Q5" s="916"/>
      <c r="R5" s="73"/>
    </row>
    <row r="6" spans="1:23" s="71" customFormat="1" ht="57.75" customHeight="1" x14ac:dyDescent="0.25">
      <c r="A6" s="1440" t="s">
        <v>813</v>
      </c>
      <c r="B6" s="1440"/>
      <c r="C6" s="1440"/>
      <c r="D6" s="1440"/>
      <c r="E6" s="1440"/>
      <c r="F6" s="1440"/>
      <c r="G6" s="1440"/>
      <c r="H6" s="1440"/>
      <c r="I6" s="1440"/>
      <c r="J6" s="1440"/>
      <c r="K6" s="1440"/>
      <c r="L6" s="915"/>
      <c r="M6" s="915"/>
      <c r="N6" s="915"/>
      <c r="O6" s="915"/>
      <c r="P6" s="915"/>
      <c r="Q6" s="915"/>
      <c r="R6" s="72"/>
    </row>
    <row r="7" spans="1:23" s="71" customFormat="1" ht="33.75" customHeight="1" x14ac:dyDescent="0.25">
      <c r="A7" s="1440" t="s">
        <v>814</v>
      </c>
      <c r="B7" s="1440"/>
      <c r="C7" s="1440"/>
      <c r="D7" s="1440"/>
      <c r="E7" s="1440"/>
      <c r="F7" s="1440"/>
      <c r="G7" s="1440"/>
      <c r="H7" s="1440"/>
      <c r="I7" s="1440"/>
      <c r="J7" s="1440"/>
      <c r="K7" s="1440"/>
      <c r="L7" s="915"/>
      <c r="M7" s="915"/>
      <c r="N7" s="915"/>
      <c r="O7" s="915"/>
      <c r="P7" s="915"/>
      <c r="Q7" s="915"/>
      <c r="R7" s="72"/>
    </row>
    <row r="8" spans="1:23" s="71" customFormat="1" ht="30.75" customHeight="1" x14ac:dyDescent="0.25">
      <c r="A8" s="1440" t="s">
        <v>815</v>
      </c>
      <c r="B8" s="1440"/>
      <c r="C8" s="1440"/>
      <c r="D8" s="1440"/>
      <c r="E8" s="1440"/>
      <c r="F8" s="1440"/>
      <c r="G8" s="1440"/>
      <c r="H8" s="1440"/>
      <c r="I8" s="1440"/>
      <c r="J8" s="1440"/>
      <c r="K8" s="1440"/>
      <c r="L8" s="915"/>
      <c r="M8" s="75"/>
      <c r="N8" s="75"/>
      <c r="O8" s="75"/>
      <c r="P8" s="75"/>
      <c r="Q8" s="914"/>
    </row>
    <row r="9" spans="1:23" s="74" customFormat="1" ht="14.25" customHeight="1" x14ac:dyDescent="0.3">
      <c r="A9" s="1441" t="s">
        <v>964</v>
      </c>
      <c r="B9" s="1441"/>
      <c r="C9" s="1441"/>
      <c r="D9" s="1441"/>
      <c r="E9" s="1441"/>
      <c r="F9" s="1441"/>
      <c r="G9" s="1441"/>
      <c r="H9" s="1441"/>
      <c r="I9" s="1441"/>
      <c r="J9" s="1441"/>
      <c r="K9" s="1441"/>
      <c r="L9" s="917"/>
      <c r="M9" s="918"/>
      <c r="N9" s="918"/>
      <c r="O9" s="918"/>
      <c r="P9" s="918"/>
      <c r="Q9" s="75"/>
    </row>
    <row r="10" spans="1:23" s="74" customFormat="1" ht="14.25" customHeight="1" x14ac:dyDescent="0.25">
      <c r="A10" s="198"/>
      <c r="B10" s="198"/>
      <c r="C10" s="198"/>
      <c r="D10" s="198"/>
      <c r="E10" s="943"/>
      <c r="F10" s="198"/>
      <c r="G10" s="198"/>
      <c r="H10" s="198"/>
      <c r="I10" s="198"/>
      <c r="J10" s="198"/>
      <c r="K10" s="198"/>
      <c r="L10" s="917"/>
      <c r="M10" s="918"/>
      <c r="N10" s="918"/>
      <c r="O10" s="918"/>
      <c r="P10" s="918"/>
      <c r="Q10" s="75"/>
    </row>
    <row r="11" spans="1:23" s="74" customFormat="1" ht="14.25" customHeight="1" x14ac:dyDescent="0.3">
      <c r="A11" s="1441" t="s">
        <v>965</v>
      </c>
      <c r="B11" s="1441"/>
      <c r="C11" s="1441"/>
      <c r="D11" s="1441"/>
      <c r="E11" s="1441"/>
      <c r="F11" s="1441"/>
      <c r="G11" s="1441"/>
      <c r="H11" s="1441"/>
      <c r="I11" s="1441"/>
      <c r="J11" s="1441"/>
      <c r="K11" s="1441"/>
      <c r="L11" s="917"/>
      <c r="M11" s="918"/>
      <c r="N11" s="918"/>
      <c r="O11" s="918"/>
      <c r="P11" s="918"/>
      <c r="Q11" s="75"/>
    </row>
    <row r="12" spans="1:23" s="74" customFormat="1" ht="9.75" customHeight="1" x14ac:dyDescent="0.25">
      <c r="A12" s="198"/>
      <c r="B12" s="198"/>
      <c r="C12" s="198"/>
      <c r="D12" s="198"/>
      <c r="E12" s="943"/>
      <c r="F12" s="198"/>
      <c r="G12" s="198"/>
      <c r="H12" s="198"/>
      <c r="I12" s="198"/>
      <c r="J12" s="198"/>
      <c r="K12" s="198"/>
      <c r="L12" s="917"/>
      <c r="M12" s="918"/>
      <c r="N12" s="918"/>
      <c r="O12" s="918"/>
      <c r="P12" s="918"/>
      <c r="Q12" s="75"/>
    </row>
    <row r="13" spans="1:23" s="74" customFormat="1" ht="12" customHeight="1" x14ac:dyDescent="0.25">
      <c r="A13" s="199" t="s">
        <v>816</v>
      </c>
      <c r="B13" s="200"/>
      <c r="C13" s="200"/>
      <c r="D13" s="200"/>
      <c r="E13" s="944"/>
      <c r="F13" s="200"/>
      <c r="G13" s="200"/>
      <c r="H13" s="200"/>
      <c r="I13" s="200"/>
      <c r="J13" s="200"/>
      <c r="K13" s="200"/>
      <c r="L13" s="918"/>
      <c r="M13" s="918"/>
      <c r="N13" s="918"/>
      <c r="O13" s="918"/>
      <c r="P13" s="918"/>
      <c r="Q13" s="75"/>
    </row>
    <row r="14" spans="1:23" s="75" customFormat="1" ht="14.25" customHeight="1" x14ac:dyDescent="0.35">
      <c r="A14" s="1442" t="s">
        <v>966</v>
      </c>
      <c r="B14" s="1442"/>
      <c r="C14" s="1442"/>
      <c r="D14" s="1442"/>
      <c r="E14" s="1442"/>
      <c r="F14" s="1442"/>
      <c r="G14" s="1442"/>
      <c r="H14" s="1442"/>
      <c r="I14" s="1442"/>
      <c r="J14" s="1442"/>
      <c r="K14" s="1442"/>
      <c r="L14" s="919"/>
    </row>
    <row r="15" spans="1:23" s="75" customFormat="1" ht="14.25" customHeight="1" x14ac:dyDescent="0.25">
      <c r="A15" s="1442" t="s">
        <v>817</v>
      </c>
      <c r="B15" s="1442"/>
      <c r="C15" s="1442"/>
      <c r="D15" s="1442"/>
      <c r="E15" s="1442"/>
      <c r="F15" s="1442"/>
      <c r="G15" s="1442"/>
      <c r="H15" s="1442"/>
      <c r="I15" s="1442"/>
      <c r="J15" s="1442"/>
      <c r="K15" s="1442"/>
      <c r="L15" s="919"/>
    </row>
    <row r="16" spans="1:23" s="75" customFormat="1" ht="14.25" customHeight="1" x14ac:dyDescent="0.25">
      <c r="A16" s="1442" t="s">
        <v>818</v>
      </c>
      <c r="B16" s="1442"/>
      <c r="C16" s="1442"/>
      <c r="D16" s="1442"/>
      <c r="E16" s="1442"/>
      <c r="F16" s="1442"/>
      <c r="G16" s="1442"/>
      <c r="H16" s="1442"/>
      <c r="I16" s="1442"/>
      <c r="J16" s="1442"/>
      <c r="K16" s="1442"/>
      <c r="L16" s="920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</row>
    <row r="17" spans="1:23" s="75" customFormat="1" ht="14.25" customHeight="1" x14ac:dyDescent="0.25">
      <c r="A17" s="1442" t="s">
        <v>819</v>
      </c>
      <c r="B17" s="1442"/>
      <c r="C17" s="1442"/>
      <c r="D17" s="1442"/>
      <c r="E17" s="1442"/>
      <c r="F17" s="1442"/>
      <c r="G17" s="1442"/>
      <c r="H17" s="1442"/>
      <c r="I17" s="1442"/>
      <c r="J17" s="1442"/>
      <c r="K17" s="1442"/>
      <c r="L17" s="920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</row>
    <row r="18" spans="1:23" s="75" customFormat="1" ht="14.25" customHeight="1" x14ac:dyDescent="0.25">
      <c r="A18" s="201"/>
      <c r="B18" s="201"/>
      <c r="C18" s="201"/>
      <c r="D18" s="201"/>
      <c r="E18" s="945"/>
      <c r="F18" s="201"/>
      <c r="G18" s="201"/>
      <c r="H18" s="201"/>
      <c r="I18" s="201"/>
      <c r="J18" s="201"/>
      <c r="K18" s="201"/>
      <c r="L18" s="920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</row>
    <row r="19" spans="1:23" s="61" customFormat="1" ht="18.75" customHeight="1" x14ac:dyDescent="0.25">
      <c r="A19" s="1117" t="s">
        <v>820</v>
      </c>
      <c r="B19" s="1117"/>
      <c r="C19" s="1117"/>
      <c r="D19" s="1117"/>
      <c r="E19" s="1117"/>
      <c r="F19" s="1117"/>
      <c r="G19" s="1117"/>
      <c r="H19" s="1117"/>
      <c r="I19" s="1117"/>
      <c r="J19" s="1117"/>
      <c r="K19" s="1117"/>
      <c r="L19" s="1117"/>
      <c r="M19" s="1117"/>
      <c r="N19" s="1117"/>
      <c r="O19" s="1117"/>
      <c r="P19" s="1117"/>
      <c r="Q19" s="1117"/>
      <c r="R19" s="1117"/>
      <c r="S19" s="1117"/>
      <c r="T19" s="1117"/>
      <c r="U19" s="1117"/>
      <c r="V19" s="1117"/>
      <c r="W19" s="1117"/>
    </row>
    <row r="20" spans="1:23" s="61" customFormat="1" ht="18.75" customHeight="1" x14ac:dyDescent="0.25">
      <c r="A20" s="58"/>
      <c r="B20" s="58"/>
      <c r="C20" s="58"/>
      <c r="D20" s="58"/>
      <c r="E20" s="946"/>
      <c r="F20" s="58"/>
      <c r="G20" s="58"/>
      <c r="H20" s="58"/>
      <c r="I20" s="58"/>
      <c r="J20" s="58"/>
      <c r="K20" s="58"/>
      <c r="L20" s="840"/>
      <c r="M20" s="840"/>
      <c r="N20" s="840"/>
      <c r="O20" s="840"/>
      <c r="P20" s="840"/>
      <c r="Q20" s="840"/>
      <c r="R20" s="58"/>
      <c r="S20" s="58"/>
      <c r="T20" s="58"/>
      <c r="U20" s="58"/>
      <c r="V20" s="58"/>
      <c r="W20" s="58"/>
    </row>
    <row r="21" spans="1:23" s="61" customFormat="1" ht="18.75" customHeight="1" x14ac:dyDescent="0.25">
      <c r="A21" s="58"/>
      <c r="B21" s="58"/>
      <c r="C21" s="58"/>
      <c r="D21" s="58"/>
      <c r="E21" s="946"/>
      <c r="F21" s="58"/>
      <c r="G21" s="58"/>
      <c r="H21" s="58"/>
      <c r="I21" s="58"/>
      <c r="J21" s="58"/>
      <c r="K21" s="58"/>
      <c r="L21" s="840"/>
      <c r="M21" s="840"/>
      <c r="N21" s="840"/>
      <c r="O21" s="840"/>
      <c r="P21" s="840"/>
      <c r="Q21" s="840"/>
      <c r="R21" s="58"/>
      <c r="S21" s="58"/>
      <c r="T21" s="58"/>
      <c r="U21" s="58"/>
      <c r="V21" s="58"/>
      <c r="W21" s="58"/>
    </row>
    <row r="22" spans="1:23" s="61" customFormat="1" ht="18.75" customHeight="1" x14ac:dyDescent="0.25">
      <c r="A22" s="58"/>
      <c r="B22" s="58"/>
      <c r="C22" s="58"/>
      <c r="D22" s="58"/>
      <c r="E22" s="946"/>
      <c r="F22" s="58"/>
      <c r="G22" s="58"/>
      <c r="H22" s="58"/>
      <c r="I22" s="58"/>
      <c r="J22" s="58"/>
      <c r="K22" s="58"/>
      <c r="L22" s="840"/>
      <c r="M22" s="840"/>
      <c r="N22" s="840"/>
      <c r="O22" s="840"/>
      <c r="P22" s="840"/>
      <c r="Q22" s="840"/>
      <c r="R22" s="58"/>
      <c r="S22" s="58"/>
      <c r="T22" s="58"/>
      <c r="U22" s="58"/>
      <c r="V22" s="58"/>
      <c r="W22" s="58"/>
    </row>
    <row r="23" spans="1:23" s="61" customFormat="1" ht="18.75" customHeight="1" x14ac:dyDescent="0.25">
      <c r="A23" s="58"/>
      <c r="B23" s="58"/>
      <c r="C23" s="58"/>
      <c r="D23" s="58"/>
      <c r="E23" s="946"/>
      <c r="F23" s="58"/>
      <c r="G23" s="58"/>
      <c r="H23" s="58"/>
      <c r="I23" s="58"/>
      <c r="J23" s="58"/>
      <c r="K23" s="58"/>
      <c r="L23" s="840"/>
      <c r="M23" s="840"/>
      <c r="N23" s="840"/>
      <c r="O23" s="840"/>
      <c r="P23" s="840"/>
      <c r="Q23" s="840"/>
      <c r="R23" s="58"/>
      <c r="S23" s="58"/>
      <c r="T23" s="58"/>
      <c r="U23" s="58"/>
      <c r="V23" s="58"/>
      <c r="W23" s="58"/>
    </row>
    <row r="24" spans="1:23" s="61" customFormat="1" ht="18.75" customHeight="1" x14ac:dyDescent="0.25">
      <c r="A24" s="58"/>
      <c r="B24" s="58"/>
      <c r="C24" s="58"/>
      <c r="D24" s="58"/>
      <c r="E24" s="946"/>
      <c r="F24" s="58"/>
      <c r="G24" s="58"/>
      <c r="H24" s="58"/>
      <c r="I24" s="58"/>
      <c r="J24" s="58"/>
      <c r="K24" s="58"/>
      <c r="L24" s="840"/>
      <c r="M24" s="840"/>
      <c r="N24" s="840"/>
      <c r="O24" s="840"/>
      <c r="P24" s="840"/>
      <c r="Q24" s="840"/>
      <c r="R24" s="58"/>
      <c r="S24" s="58"/>
      <c r="T24" s="58"/>
      <c r="U24" s="58"/>
      <c r="V24" s="58"/>
      <c r="W24" s="58"/>
    </row>
    <row r="25" spans="1:23" s="61" customFormat="1" ht="18.75" customHeight="1" x14ac:dyDescent="0.25">
      <c r="A25" s="58"/>
      <c r="B25" s="58"/>
      <c r="C25" s="58"/>
      <c r="D25" s="58"/>
      <c r="E25" s="946"/>
      <c r="F25" s="58"/>
      <c r="G25" s="58"/>
      <c r="H25" s="58"/>
      <c r="I25" s="58"/>
      <c r="J25" s="58"/>
      <c r="K25" s="58"/>
      <c r="L25" s="840"/>
      <c r="M25" s="840"/>
      <c r="N25" s="840"/>
      <c r="O25" s="840"/>
      <c r="P25" s="840"/>
      <c r="Q25" s="840"/>
      <c r="R25" s="58"/>
      <c r="S25" s="58"/>
      <c r="T25" s="58"/>
      <c r="U25" s="58"/>
      <c r="V25" s="58"/>
      <c r="W25" s="58"/>
    </row>
    <row r="26" spans="1:23" s="75" customFormat="1" ht="14.25" customHeight="1" x14ac:dyDescent="0.25">
      <c r="A26" s="201"/>
      <c r="B26" s="201"/>
      <c r="C26" s="201"/>
      <c r="D26" s="201"/>
      <c r="E26" s="945"/>
      <c r="F26" s="201"/>
      <c r="G26" s="201"/>
      <c r="H26" s="201"/>
      <c r="I26" s="201"/>
      <c r="J26" s="201"/>
      <c r="K26" s="201"/>
      <c r="L26" s="920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</row>
    <row r="27" spans="1:23" ht="28.5" customHeight="1" x14ac:dyDescent="0.25">
      <c r="A27" s="1443" t="s">
        <v>1210</v>
      </c>
      <c r="B27" s="1443"/>
      <c r="C27" s="1443"/>
      <c r="D27" s="1443"/>
      <c r="E27" s="1443"/>
      <c r="F27" s="1443"/>
      <c r="G27" s="1443"/>
      <c r="H27" s="1443"/>
      <c r="I27" s="1443"/>
      <c r="J27" s="1443"/>
      <c r="K27" s="1443"/>
      <c r="L27" s="862"/>
      <c r="M27" s="862"/>
      <c r="N27" s="862"/>
      <c r="O27" s="862"/>
      <c r="P27" s="862"/>
      <c r="Q27" s="862"/>
      <c r="R27" s="145"/>
      <c r="S27" s="145"/>
      <c r="T27" s="145"/>
      <c r="U27" s="145"/>
      <c r="V27" s="145"/>
      <c r="W27" s="145"/>
    </row>
    <row r="28" spans="1:23" ht="24.75" customHeight="1" x14ac:dyDescent="0.25">
      <c r="A28" s="1295" t="s">
        <v>77</v>
      </c>
      <c r="B28" s="1295" t="s">
        <v>130</v>
      </c>
      <c r="C28" s="1295" t="s">
        <v>131</v>
      </c>
      <c r="D28" s="1295" t="s">
        <v>132</v>
      </c>
      <c r="E28" s="1295"/>
      <c r="F28" s="1295" t="s">
        <v>133</v>
      </c>
      <c r="G28" s="1295" t="s">
        <v>41</v>
      </c>
      <c r="H28" s="1295" t="s">
        <v>42</v>
      </c>
      <c r="I28" s="1295" t="s">
        <v>134</v>
      </c>
      <c r="J28" s="1225" t="s">
        <v>135</v>
      </c>
      <c r="K28" s="1225"/>
      <c r="L28" s="155"/>
      <c r="M28" s="862"/>
      <c r="N28" s="862"/>
      <c r="O28" s="862"/>
      <c r="P28" s="862"/>
      <c r="Q28" s="862"/>
      <c r="R28" s="145"/>
      <c r="S28" s="145"/>
      <c r="T28" s="145"/>
      <c r="U28" s="145"/>
      <c r="V28" s="145"/>
      <c r="W28" s="145"/>
    </row>
    <row r="29" spans="1:23" ht="16.5" customHeight="1" x14ac:dyDescent="0.25">
      <c r="A29" s="1295"/>
      <c r="B29" s="1295"/>
      <c r="C29" s="1295"/>
      <c r="D29" s="8" t="s">
        <v>136</v>
      </c>
      <c r="E29" s="8" t="s">
        <v>137</v>
      </c>
      <c r="F29" s="1295"/>
      <c r="G29" s="1295"/>
      <c r="H29" s="1295"/>
      <c r="I29" s="1295"/>
      <c r="J29" s="8" t="s">
        <v>46</v>
      </c>
      <c r="K29" s="8" t="s">
        <v>45</v>
      </c>
      <c r="L29" s="156"/>
      <c r="M29" s="862"/>
      <c r="N29" s="862"/>
      <c r="O29" s="862"/>
      <c r="P29" s="862"/>
      <c r="Q29" s="862"/>
      <c r="R29" s="145"/>
      <c r="S29" s="145"/>
      <c r="T29" s="145"/>
      <c r="U29" s="145"/>
      <c r="V29" s="145"/>
      <c r="W29" s="145"/>
    </row>
    <row r="30" spans="1:23" x14ac:dyDescent="0.25">
      <c r="A30" s="202">
        <v>1</v>
      </c>
      <c r="B30" s="202">
        <v>2</v>
      </c>
      <c r="C30" s="183">
        <v>3</v>
      </c>
      <c r="D30" s="202">
        <v>4</v>
      </c>
      <c r="E30" s="202">
        <v>5</v>
      </c>
      <c r="F30" s="202">
        <v>6</v>
      </c>
      <c r="G30" s="202">
        <v>7</v>
      </c>
      <c r="H30" s="202">
        <v>8</v>
      </c>
      <c r="I30" s="202">
        <v>9</v>
      </c>
      <c r="J30" s="202">
        <v>10</v>
      </c>
      <c r="K30" s="202">
        <v>11</v>
      </c>
      <c r="L30" s="155"/>
      <c r="M30" s="862"/>
      <c r="N30" s="862"/>
      <c r="O30" s="862"/>
      <c r="P30" s="862"/>
      <c r="Q30" s="862"/>
      <c r="R30" s="145"/>
      <c r="S30" s="145"/>
      <c r="T30" s="145"/>
      <c r="U30" s="145"/>
      <c r="V30" s="145"/>
      <c r="W30" s="145"/>
    </row>
    <row r="31" spans="1:23" x14ac:dyDescent="0.25">
      <c r="A31" s="1425" t="s">
        <v>365</v>
      </c>
      <c r="B31" s="1425"/>
      <c r="C31" s="1425"/>
      <c r="D31" s="1425"/>
      <c r="E31" s="1425"/>
      <c r="F31" s="1425"/>
      <c r="G31" s="1425"/>
      <c r="H31" s="1425"/>
      <c r="I31" s="1425"/>
      <c r="J31" s="1425"/>
      <c r="K31" s="1425"/>
      <c r="L31" s="157"/>
      <c r="P31" s="862"/>
      <c r="Q31" s="862"/>
      <c r="R31" s="145"/>
      <c r="S31" s="145"/>
      <c r="T31" s="145"/>
      <c r="U31" s="145"/>
      <c r="V31" s="145"/>
      <c r="W31" s="145"/>
    </row>
    <row r="32" spans="1:23" x14ac:dyDescent="0.25">
      <c r="A32" s="1424" t="s">
        <v>5</v>
      </c>
      <c r="B32" s="1424"/>
      <c r="C32" s="1424"/>
      <c r="D32" s="1424"/>
      <c r="E32" s="1424"/>
      <c r="F32" s="1424"/>
      <c r="G32" s="1424"/>
      <c r="H32" s="1424"/>
      <c r="I32" s="1424"/>
      <c r="J32" s="1424"/>
      <c r="K32" s="1424"/>
      <c r="L32" s="921"/>
      <c r="P32" s="862"/>
      <c r="Q32" s="862"/>
      <c r="R32" s="145"/>
      <c r="S32" s="145"/>
      <c r="T32" s="145"/>
      <c r="U32" s="145"/>
      <c r="V32" s="145"/>
      <c r="W32" s="145"/>
    </row>
    <row r="33" spans="1:23" x14ac:dyDescent="0.25">
      <c r="A33" s="1411" t="s">
        <v>8</v>
      </c>
      <c r="B33" s="1411"/>
      <c r="C33" s="1411"/>
      <c r="D33" s="1411"/>
      <c r="E33" s="1411"/>
      <c r="F33" s="1411"/>
      <c r="G33" s="1411"/>
      <c r="H33" s="1411"/>
      <c r="I33" s="1411"/>
      <c r="J33" s="1411"/>
      <c r="K33" s="1411"/>
      <c r="L33" s="109"/>
      <c r="P33" s="862"/>
      <c r="Q33" s="862"/>
      <c r="R33" s="145"/>
      <c r="S33" s="145"/>
      <c r="T33" s="145"/>
      <c r="U33" s="145"/>
      <c r="V33" s="145"/>
      <c r="W33" s="145"/>
    </row>
    <row r="34" spans="1:23" s="147" customFormat="1" ht="15" customHeight="1" x14ac:dyDescent="0.25">
      <c r="A34" s="1412" t="s">
        <v>366</v>
      </c>
      <c r="B34" s="1415" t="s">
        <v>138</v>
      </c>
      <c r="C34" s="1418" t="s">
        <v>139</v>
      </c>
      <c r="D34" s="1418">
        <v>21.4</v>
      </c>
      <c r="E34" s="1418">
        <v>30574.2</v>
      </c>
      <c r="F34" s="7">
        <v>0.75</v>
      </c>
      <c r="G34" s="203" t="s">
        <v>140</v>
      </c>
      <c r="H34" s="204" t="s">
        <v>141</v>
      </c>
      <c r="I34" s="204" t="s">
        <v>142</v>
      </c>
      <c r="J34" s="202">
        <f>ROUND(F34*D34/3600,4)</f>
        <v>4.4999999999999997E-3</v>
      </c>
      <c r="K34" s="202">
        <f>ROUND(F34*E34/1000000,4)</f>
        <v>2.29E-2</v>
      </c>
      <c r="L34" s="102"/>
      <c r="M34" s="3"/>
      <c r="N34" s="3"/>
      <c r="O34" s="3"/>
      <c r="P34" s="862"/>
      <c r="Q34" s="862"/>
      <c r="R34" s="145"/>
      <c r="S34" s="145"/>
      <c r="T34" s="145"/>
      <c r="U34" s="145"/>
      <c r="V34" s="145"/>
      <c r="W34" s="145"/>
    </row>
    <row r="35" spans="1:23" s="147" customFormat="1" ht="15" customHeight="1" x14ac:dyDescent="0.25">
      <c r="A35" s="1413"/>
      <c r="B35" s="1416"/>
      <c r="C35" s="1419"/>
      <c r="D35" s="1419"/>
      <c r="E35" s="1419"/>
      <c r="F35" s="7">
        <v>1.5</v>
      </c>
      <c r="G35" s="206" t="s">
        <v>143</v>
      </c>
      <c r="H35" s="205" t="s">
        <v>144</v>
      </c>
      <c r="I35" s="204" t="s">
        <v>142</v>
      </c>
      <c r="J35" s="202">
        <f>ROUND((F35*D34/3600)*(1-I35),4)</f>
        <v>8.8999999999999999E-3</v>
      </c>
      <c r="K35" s="202">
        <f>ROUND((F35*E34/1000000)*(1-I35),4)</f>
        <v>4.5900000000000003E-2</v>
      </c>
      <c r="L35" s="102"/>
      <c r="M35" s="3"/>
      <c r="N35" s="3"/>
      <c r="O35" s="3"/>
      <c r="P35" s="862"/>
      <c r="Q35" s="862"/>
      <c r="R35" s="145"/>
      <c r="S35" s="145"/>
      <c r="T35" s="145"/>
      <c r="U35" s="145"/>
      <c r="V35" s="145"/>
      <c r="W35" s="145"/>
    </row>
    <row r="36" spans="1:23" s="147" customFormat="1" ht="15" customHeight="1" x14ac:dyDescent="0.25">
      <c r="A36" s="1413"/>
      <c r="B36" s="1416"/>
      <c r="C36" s="1419"/>
      <c r="D36" s="1419"/>
      <c r="E36" s="1419"/>
      <c r="F36" s="7">
        <v>0.92</v>
      </c>
      <c r="G36" s="203" t="s">
        <v>145</v>
      </c>
      <c r="H36" s="204" t="s">
        <v>146</v>
      </c>
      <c r="I36" s="204" t="s">
        <v>142</v>
      </c>
      <c r="J36" s="202">
        <f>ROUND((F36*D34/3600)*(1-I36),4)</f>
        <v>5.4999999999999997E-3</v>
      </c>
      <c r="K36" s="202">
        <f>ROUND((F36*E34/1000000)*(1-I36),4)</f>
        <v>2.81E-2</v>
      </c>
      <c r="L36" s="102"/>
      <c r="M36" s="3"/>
      <c r="N36" s="3"/>
      <c r="O36" s="3"/>
      <c r="P36" s="862"/>
      <c r="Q36" s="862"/>
      <c r="R36" s="145"/>
      <c r="S36" s="145"/>
      <c r="T36" s="145"/>
      <c r="U36" s="145"/>
      <c r="V36" s="145"/>
      <c r="W36" s="145"/>
    </row>
    <row r="37" spans="1:23" s="147" customFormat="1" ht="15" customHeight="1" x14ac:dyDescent="0.25">
      <c r="A37" s="1413"/>
      <c r="B37" s="1416"/>
      <c r="C37" s="1419"/>
      <c r="D37" s="1419"/>
      <c r="E37" s="1419"/>
      <c r="F37" s="7">
        <v>3.3</v>
      </c>
      <c r="G37" s="203" t="s">
        <v>147</v>
      </c>
      <c r="H37" s="204" t="s">
        <v>148</v>
      </c>
      <c r="I37" s="204" t="s">
        <v>142</v>
      </c>
      <c r="J37" s="202">
        <f>ROUND((F37*D34/3600)*(1-I37),4)</f>
        <v>1.9599999999999999E-2</v>
      </c>
      <c r="K37" s="202">
        <f>ROUND((F37*E34/1000000)*(1-I37),4)</f>
        <v>0.1009</v>
      </c>
      <c r="L37" s="102"/>
      <c r="M37" s="3"/>
      <c r="N37" s="3"/>
      <c r="O37" s="3"/>
      <c r="P37" s="862"/>
      <c r="Q37" s="862"/>
      <c r="R37" s="145"/>
      <c r="S37" s="145"/>
      <c r="T37" s="145"/>
      <c r="U37" s="145"/>
      <c r="V37" s="145"/>
      <c r="W37" s="145"/>
    </row>
    <row r="38" spans="1:23" s="147" customFormat="1" ht="15" customHeight="1" x14ac:dyDescent="0.25">
      <c r="A38" s="1413"/>
      <c r="B38" s="1416"/>
      <c r="C38" s="1419"/>
      <c r="D38" s="1419"/>
      <c r="E38" s="1419"/>
      <c r="F38" s="7">
        <v>10.69</v>
      </c>
      <c r="G38" s="203" t="s">
        <v>149</v>
      </c>
      <c r="H38" s="204" t="s">
        <v>150</v>
      </c>
      <c r="I38" s="204" t="s">
        <v>142</v>
      </c>
      <c r="J38" s="202">
        <f>ROUND((F38*D34/3600)*(1-I38),4)</f>
        <v>6.3500000000000001E-2</v>
      </c>
      <c r="K38" s="202">
        <f>ROUND((F38*E34/1000000)*(1-I38),4)</f>
        <v>0.32679999999999998</v>
      </c>
      <c r="L38" s="102"/>
      <c r="M38" s="3"/>
      <c r="N38" s="3"/>
      <c r="O38" s="3"/>
      <c r="P38" s="862"/>
      <c r="Q38" s="862"/>
      <c r="R38" s="145"/>
      <c r="S38" s="145"/>
      <c r="T38" s="145"/>
      <c r="U38" s="145"/>
      <c r="V38" s="145"/>
      <c r="W38" s="145"/>
    </row>
    <row r="39" spans="1:23" s="147" customFormat="1" ht="15" customHeight="1" x14ac:dyDescent="0.25">
      <c r="A39" s="1413"/>
      <c r="B39" s="1416"/>
      <c r="C39" s="1419"/>
      <c r="D39" s="1419"/>
      <c r="E39" s="1419"/>
      <c r="F39" s="7">
        <v>1.4</v>
      </c>
      <c r="G39" s="207" t="s">
        <v>151</v>
      </c>
      <c r="H39" s="23">
        <v>2908</v>
      </c>
      <c r="I39" s="204" t="s">
        <v>142</v>
      </c>
      <c r="J39" s="202">
        <f>ROUND((F39*D34/3600)*(1-I39),4)</f>
        <v>8.3000000000000001E-3</v>
      </c>
      <c r="K39" s="202">
        <f>ROUND((F39*E34/1000000)*(1-I39),4)</f>
        <v>4.2799999999999998E-2</v>
      </c>
      <c r="L39" s="102"/>
      <c r="M39" s="3"/>
      <c r="N39" s="3"/>
      <c r="O39" s="3"/>
      <c r="P39" s="862"/>
      <c r="Q39" s="862"/>
      <c r="R39" s="145"/>
      <c r="S39" s="145"/>
      <c r="T39" s="145"/>
      <c r="U39" s="145"/>
      <c r="V39" s="145"/>
      <c r="W39" s="145"/>
    </row>
    <row r="40" spans="1:23" s="147" customFormat="1" ht="15" customHeight="1" x14ac:dyDescent="0.25">
      <c r="A40" s="1414"/>
      <c r="B40" s="1417"/>
      <c r="C40" s="1420"/>
      <c r="D40" s="1420"/>
      <c r="E40" s="1420"/>
      <c r="F40" s="7">
        <v>13.3</v>
      </c>
      <c r="G40" s="203" t="s">
        <v>152</v>
      </c>
      <c r="H40" s="204" t="s">
        <v>153</v>
      </c>
      <c r="I40" s="204" t="s">
        <v>142</v>
      </c>
      <c r="J40" s="202">
        <f>ROUND((F40*D34/3600)*(1-I40),4)</f>
        <v>7.9100000000000004E-2</v>
      </c>
      <c r="K40" s="202">
        <f>ROUND((F40*E34/1000000)*(1-I40),4)</f>
        <v>0.40660000000000002</v>
      </c>
      <c r="L40" s="102">
        <f>SUM(J34:J40)</f>
        <v>0.18940000000000001</v>
      </c>
      <c r="M40" s="102">
        <f>SUM(K34:K40)</f>
        <v>0.97399999999999998</v>
      </c>
      <c r="N40" s="922"/>
      <c r="O40" s="3"/>
      <c r="P40" s="862"/>
      <c r="Q40" s="862"/>
      <c r="R40" s="145"/>
      <c r="S40" s="145"/>
      <c r="T40" s="145"/>
      <c r="U40" s="145"/>
      <c r="V40" s="145"/>
      <c r="W40" s="145"/>
    </row>
    <row r="41" spans="1:23" s="147" customFormat="1" ht="15" customHeight="1" x14ac:dyDescent="0.25">
      <c r="A41" s="1411" t="s">
        <v>210</v>
      </c>
      <c r="B41" s="1411"/>
      <c r="C41" s="1411"/>
      <c r="D41" s="1411"/>
      <c r="E41" s="1411"/>
      <c r="F41" s="1411"/>
      <c r="G41" s="1411"/>
      <c r="H41" s="1411"/>
      <c r="I41" s="1411"/>
      <c r="J41" s="1411"/>
      <c r="K41" s="1411"/>
      <c r="L41" s="109"/>
      <c r="M41" s="3"/>
      <c r="N41" s="3"/>
      <c r="O41" s="3"/>
      <c r="P41" s="862"/>
      <c r="Q41" s="862"/>
      <c r="R41" s="145"/>
      <c r="S41" s="145"/>
      <c r="T41" s="145"/>
      <c r="U41" s="145"/>
      <c r="V41" s="145"/>
      <c r="W41" s="145"/>
    </row>
    <row r="42" spans="1:23" s="147" customFormat="1" ht="15" customHeight="1" x14ac:dyDescent="0.25">
      <c r="A42" s="1412" t="s">
        <v>392</v>
      </c>
      <c r="B42" s="1415" t="s">
        <v>138</v>
      </c>
      <c r="C42" s="1418" t="s">
        <v>139</v>
      </c>
      <c r="D42" s="1418">
        <v>3.1</v>
      </c>
      <c r="E42" s="1418">
        <v>2634.9</v>
      </c>
      <c r="F42" s="7">
        <v>0.75</v>
      </c>
      <c r="G42" s="203" t="s">
        <v>140</v>
      </c>
      <c r="H42" s="204" t="s">
        <v>141</v>
      </c>
      <c r="I42" s="204" t="s">
        <v>142</v>
      </c>
      <c r="J42" s="202">
        <f>ROUND(F42*D42/3600,4)</f>
        <v>5.9999999999999995E-4</v>
      </c>
      <c r="K42" s="202">
        <f>ROUND(F42*E42/1000000,4)</f>
        <v>2E-3</v>
      </c>
      <c r="L42" s="102"/>
      <c r="M42" s="3"/>
      <c r="N42" s="3"/>
      <c r="O42" s="3"/>
      <c r="P42" s="862"/>
      <c r="Q42" s="862"/>
      <c r="R42" s="145"/>
      <c r="S42" s="145"/>
      <c r="T42" s="145"/>
      <c r="U42" s="145"/>
      <c r="V42" s="145"/>
      <c r="W42" s="145"/>
    </row>
    <row r="43" spans="1:23" s="147" customFormat="1" ht="15" customHeight="1" x14ac:dyDescent="0.25">
      <c r="A43" s="1413"/>
      <c r="B43" s="1416"/>
      <c r="C43" s="1419"/>
      <c r="D43" s="1419"/>
      <c r="E43" s="1419"/>
      <c r="F43" s="7">
        <v>1.5</v>
      </c>
      <c r="G43" s="206" t="s">
        <v>143</v>
      </c>
      <c r="H43" s="205" t="s">
        <v>144</v>
      </c>
      <c r="I43" s="204" t="s">
        <v>142</v>
      </c>
      <c r="J43" s="202">
        <f>ROUND((F43*D42/3600)*(1-I43),4)</f>
        <v>1.2999999999999999E-3</v>
      </c>
      <c r="K43" s="202">
        <f>ROUND((F43*E42/1000000)*(1-I43),4)</f>
        <v>4.0000000000000001E-3</v>
      </c>
      <c r="L43" s="102"/>
      <c r="M43" s="3"/>
      <c r="N43" s="3"/>
      <c r="O43" s="3"/>
      <c r="P43" s="862"/>
      <c r="Q43" s="862"/>
      <c r="R43" s="145"/>
      <c r="S43" s="145"/>
      <c r="T43" s="145"/>
      <c r="U43" s="145"/>
      <c r="V43" s="145"/>
      <c r="W43" s="145"/>
    </row>
    <row r="44" spans="1:23" s="147" customFormat="1" ht="15" customHeight="1" x14ac:dyDescent="0.25">
      <c r="A44" s="1413"/>
      <c r="B44" s="1416"/>
      <c r="C44" s="1419"/>
      <c r="D44" s="1419"/>
      <c r="E44" s="1419"/>
      <c r="F44" s="7">
        <v>0.92</v>
      </c>
      <c r="G44" s="203" t="s">
        <v>145</v>
      </c>
      <c r="H44" s="204" t="s">
        <v>146</v>
      </c>
      <c r="I44" s="204" t="s">
        <v>142</v>
      </c>
      <c r="J44" s="202">
        <f>ROUND((F44*D42/3600)*(1-I44),4)</f>
        <v>8.0000000000000004E-4</v>
      </c>
      <c r="K44" s="202">
        <f>ROUND((F44*E42/1000000)*(1-I44),4)</f>
        <v>2.3999999999999998E-3</v>
      </c>
      <c r="L44" s="102"/>
      <c r="M44" s="3"/>
      <c r="N44" s="3"/>
      <c r="O44" s="3"/>
      <c r="P44" s="862"/>
      <c r="Q44" s="862"/>
      <c r="R44" s="145"/>
      <c r="S44" s="145"/>
      <c r="T44" s="145"/>
      <c r="U44" s="145"/>
      <c r="V44" s="145"/>
      <c r="W44" s="145"/>
    </row>
    <row r="45" spans="1:23" s="147" customFormat="1" ht="15" customHeight="1" x14ac:dyDescent="0.25">
      <c r="A45" s="1413"/>
      <c r="B45" s="1416"/>
      <c r="C45" s="1419"/>
      <c r="D45" s="1419"/>
      <c r="E45" s="1419"/>
      <c r="F45" s="7">
        <v>3.3</v>
      </c>
      <c r="G45" s="203" t="s">
        <v>147</v>
      </c>
      <c r="H45" s="204" t="s">
        <v>148</v>
      </c>
      <c r="I45" s="204" t="s">
        <v>142</v>
      </c>
      <c r="J45" s="202">
        <f>ROUND((F45*D42/3600)*(1-I45),4)</f>
        <v>2.8E-3</v>
      </c>
      <c r="K45" s="202">
        <f>ROUND((F45*E42/1000000)*(1-I45),4)</f>
        <v>8.6999999999999994E-3</v>
      </c>
      <c r="L45" s="102"/>
      <c r="M45" s="3"/>
      <c r="N45" s="3"/>
      <c r="O45" s="3"/>
      <c r="P45" s="862"/>
      <c r="Q45" s="862"/>
      <c r="R45" s="145"/>
      <c r="S45" s="145"/>
      <c r="T45" s="145"/>
      <c r="U45" s="145"/>
      <c r="V45" s="145"/>
      <c r="W45" s="145"/>
    </row>
    <row r="46" spans="1:23" s="147" customFormat="1" ht="15" customHeight="1" x14ac:dyDescent="0.25">
      <c r="A46" s="1413"/>
      <c r="B46" s="1416"/>
      <c r="C46" s="1419"/>
      <c r="D46" s="1419"/>
      <c r="E46" s="1419"/>
      <c r="F46" s="7">
        <v>10.69</v>
      </c>
      <c r="G46" s="203" t="s">
        <v>149</v>
      </c>
      <c r="H46" s="204" t="s">
        <v>150</v>
      </c>
      <c r="I46" s="204" t="s">
        <v>142</v>
      </c>
      <c r="J46" s="202">
        <f>ROUND((F46*D42/3600)*(1-I46),4)</f>
        <v>9.1999999999999998E-3</v>
      </c>
      <c r="K46" s="202">
        <f>ROUND((F46*E42/1000000)*(1-I46),4)</f>
        <v>2.8199999999999999E-2</v>
      </c>
      <c r="L46" s="102"/>
      <c r="M46" s="3"/>
      <c r="N46" s="3"/>
      <c r="O46" s="3"/>
      <c r="P46" s="862"/>
      <c r="Q46" s="862"/>
      <c r="R46" s="145"/>
      <c r="S46" s="145"/>
      <c r="T46" s="145"/>
      <c r="U46" s="145"/>
      <c r="V46" s="145"/>
      <c r="W46" s="145"/>
    </row>
    <row r="47" spans="1:23" s="147" customFormat="1" ht="15" customHeight="1" x14ac:dyDescent="0.25">
      <c r="A47" s="1413"/>
      <c r="B47" s="1416"/>
      <c r="C47" s="1419"/>
      <c r="D47" s="1419"/>
      <c r="E47" s="1419"/>
      <c r="F47" s="7">
        <v>1.4</v>
      </c>
      <c r="G47" s="207" t="s">
        <v>151</v>
      </c>
      <c r="H47" s="23">
        <v>2908</v>
      </c>
      <c r="I47" s="204" t="s">
        <v>142</v>
      </c>
      <c r="J47" s="202">
        <f>ROUND((F47*D42/3600)*(1-I47),4)</f>
        <v>1.1999999999999999E-3</v>
      </c>
      <c r="K47" s="202">
        <f>ROUND((F47*E42/1000000)*(1-I47),4)</f>
        <v>3.7000000000000002E-3</v>
      </c>
      <c r="L47" s="102"/>
      <c r="M47" s="3"/>
      <c r="N47" s="3"/>
      <c r="O47" s="3"/>
      <c r="P47" s="862"/>
      <c r="Q47" s="862"/>
      <c r="R47" s="145"/>
      <c r="S47" s="145"/>
      <c r="T47" s="145"/>
      <c r="U47" s="145"/>
      <c r="V47" s="145"/>
      <c r="W47" s="145"/>
    </row>
    <row r="48" spans="1:23" s="147" customFormat="1" ht="15" customHeight="1" x14ac:dyDescent="0.25">
      <c r="A48" s="1414"/>
      <c r="B48" s="1417"/>
      <c r="C48" s="1420"/>
      <c r="D48" s="1420"/>
      <c r="E48" s="1420"/>
      <c r="F48" s="7">
        <v>13.3</v>
      </c>
      <c r="G48" s="203" t="s">
        <v>152</v>
      </c>
      <c r="H48" s="204" t="s">
        <v>153</v>
      </c>
      <c r="I48" s="204" t="s">
        <v>142</v>
      </c>
      <c r="J48" s="202">
        <f>ROUND((F48*D42/3600)*(1-I48),4)</f>
        <v>1.15E-2</v>
      </c>
      <c r="K48" s="202">
        <f>ROUND((F48*E42/1000000)*(1-I48),4)</f>
        <v>3.5000000000000003E-2</v>
      </c>
      <c r="L48" s="102">
        <f>SUM(J42:J48)</f>
        <v>2.7400000000000001E-2</v>
      </c>
      <c r="M48" s="102">
        <f>SUM(K42:K48)</f>
        <v>8.3999999999999991E-2</v>
      </c>
      <c r="N48" s="922"/>
      <c r="O48" s="3"/>
      <c r="P48" s="862"/>
      <c r="Q48" s="862"/>
      <c r="R48" s="145"/>
      <c r="S48" s="145"/>
      <c r="T48" s="145"/>
      <c r="U48" s="145"/>
      <c r="V48" s="145"/>
      <c r="W48" s="145"/>
    </row>
    <row r="49" spans="1:23" ht="15" customHeight="1" x14ac:dyDescent="0.25">
      <c r="A49" s="1411" t="s">
        <v>213</v>
      </c>
      <c r="B49" s="1411"/>
      <c r="C49" s="1411"/>
      <c r="D49" s="1411"/>
      <c r="E49" s="1411"/>
      <c r="F49" s="1411"/>
      <c r="G49" s="1411"/>
      <c r="H49" s="1411"/>
      <c r="I49" s="1411"/>
      <c r="J49" s="1411"/>
      <c r="K49" s="1411"/>
      <c r="L49" s="109"/>
      <c r="P49" s="862"/>
      <c r="Q49" s="862"/>
      <c r="R49" s="145"/>
      <c r="S49" s="145"/>
      <c r="T49" s="145"/>
      <c r="U49" s="145"/>
      <c r="V49" s="145"/>
      <c r="W49" s="145"/>
    </row>
    <row r="50" spans="1:23" s="147" customFormat="1" ht="15" customHeight="1" x14ac:dyDescent="0.25">
      <c r="A50" s="1412" t="s">
        <v>399</v>
      </c>
      <c r="B50" s="1415" t="s">
        <v>138</v>
      </c>
      <c r="C50" s="1418" t="s">
        <v>139</v>
      </c>
      <c r="D50" s="1418">
        <v>9.4</v>
      </c>
      <c r="E50" s="1418">
        <v>8041.9</v>
      </c>
      <c r="F50" s="7">
        <v>0.75</v>
      </c>
      <c r="G50" s="203" t="s">
        <v>140</v>
      </c>
      <c r="H50" s="204" t="s">
        <v>141</v>
      </c>
      <c r="I50" s="204" t="s">
        <v>142</v>
      </c>
      <c r="J50" s="202">
        <f>ROUND(F50*D50/3600,4)</f>
        <v>2E-3</v>
      </c>
      <c r="K50" s="202">
        <f>ROUND(F50*E50/1000000,4)</f>
        <v>6.0000000000000001E-3</v>
      </c>
      <c r="L50" s="102"/>
      <c r="M50" s="3"/>
      <c r="N50" s="3"/>
      <c r="O50" s="3"/>
      <c r="P50" s="862"/>
      <c r="Q50" s="862"/>
      <c r="R50" s="145"/>
      <c r="S50" s="145"/>
      <c r="T50" s="145"/>
      <c r="U50" s="145"/>
      <c r="V50" s="145"/>
      <c r="W50" s="145"/>
    </row>
    <row r="51" spans="1:23" s="147" customFormat="1" ht="15" customHeight="1" x14ac:dyDescent="0.25">
      <c r="A51" s="1413"/>
      <c r="B51" s="1416"/>
      <c r="C51" s="1419"/>
      <c r="D51" s="1419"/>
      <c r="E51" s="1419"/>
      <c r="F51" s="7">
        <v>1.5</v>
      </c>
      <c r="G51" s="206" t="s">
        <v>143</v>
      </c>
      <c r="H51" s="205" t="s">
        <v>144</v>
      </c>
      <c r="I51" s="204" t="s">
        <v>142</v>
      </c>
      <c r="J51" s="202">
        <f>ROUND((F51*D50/3600)*(1-I51),4)</f>
        <v>3.8999999999999998E-3</v>
      </c>
      <c r="K51" s="202">
        <f>ROUND((F51*E50/1000000)*(1-I51),4)</f>
        <v>1.21E-2</v>
      </c>
      <c r="L51" s="102"/>
      <c r="M51" s="3"/>
      <c r="N51" s="3"/>
      <c r="O51" s="3"/>
      <c r="P51" s="862"/>
      <c r="Q51" s="862"/>
      <c r="R51" s="145"/>
      <c r="S51" s="145"/>
      <c r="T51" s="145"/>
      <c r="U51" s="145"/>
      <c r="V51" s="145"/>
      <c r="W51" s="145"/>
    </row>
    <row r="52" spans="1:23" s="147" customFormat="1" ht="15" customHeight="1" x14ac:dyDescent="0.25">
      <c r="A52" s="1413"/>
      <c r="B52" s="1416"/>
      <c r="C52" s="1419"/>
      <c r="D52" s="1419"/>
      <c r="E52" s="1419"/>
      <c r="F52" s="7">
        <v>0.92</v>
      </c>
      <c r="G52" s="203" t="s">
        <v>145</v>
      </c>
      <c r="H52" s="204" t="s">
        <v>146</v>
      </c>
      <c r="I52" s="204" t="s">
        <v>142</v>
      </c>
      <c r="J52" s="202">
        <f>ROUND((F52*D50/3600)*(1-I52),4)</f>
        <v>2.3999999999999998E-3</v>
      </c>
      <c r="K52" s="202">
        <f>ROUND((F52*E50/1000000)*(1-I52),4)</f>
        <v>7.4000000000000003E-3</v>
      </c>
      <c r="L52" s="102"/>
      <c r="M52" s="3"/>
      <c r="N52" s="3"/>
      <c r="O52" s="3"/>
      <c r="P52" s="862"/>
      <c r="Q52" s="862"/>
      <c r="R52" s="145"/>
      <c r="S52" s="145"/>
      <c r="T52" s="145"/>
      <c r="U52" s="145"/>
      <c r="V52" s="145"/>
      <c r="W52" s="145"/>
    </row>
    <row r="53" spans="1:23" s="147" customFormat="1" ht="15" customHeight="1" x14ac:dyDescent="0.25">
      <c r="A53" s="1413"/>
      <c r="B53" s="1416"/>
      <c r="C53" s="1419"/>
      <c r="D53" s="1419"/>
      <c r="E53" s="1419"/>
      <c r="F53" s="7">
        <v>3.3</v>
      </c>
      <c r="G53" s="203" t="s">
        <v>147</v>
      </c>
      <c r="H53" s="204" t="s">
        <v>148</v>
      </c>
      <c r="I53" s="204" t="s">
        <v>142</v>
      </c>
      <c r="J53" s="202">
        <f>ROUND((F53*D50/3600)*(1-I53),4)</f>
        <v>8.6E-3</v>
      </c>
      <c r="K53" s="202">
        <f>ROUND((F53*E50/1000000)*(1-I53),4)</f>
        <v>2.6499999999999999E-2</v>
      </c>
      <c r="L53" s="102"/>
      <c r="M53" s="3"/>
      <c r="N53" s="3"/>
      <c r="O53" s="3"/>
      <c r="P53" s="862"/>
      <c r="Q53" s="862"/>
      <c r="R53" s="145"/>
      <c r="S53" s="145"/>
      <c r="T53" s="145"/>
      <c r="U53" s="145"/>
      <c r="V53" s="145"/>
      <c r="W53" s="145"/>
    </row>
    <row r="54" spans="1:23" s="147" customFormat="1" ht="15" customHeight="1" x14ac:dyDescent="0.25">
      <c r="A54" s="1413"/>
      <c r="B54" s="1416"/>
      <c r="C54" s="1419"/>
      <c r="D54" s="1419"/>
      <c r="E54" s="1419"/>
      <c r="F54" s="7">
        <v>10.69</v>
      </c>
      <c r="G54" s="203" t="s">
        <v>149</v>
      </c>
      <c r="H54" s="204" t="s">
        <v>150</v>
      </c>
      <c r="I54" s="204" t="s">
        <v>142</v>
      </c>
      <c r="J54" s="202">
        <f>ROUND((F54*D50/3600)*(1-I54),4)</f>
        <v>2.7900000000000001E-2</v>
      </c>
      <c r="K54" s="202">
        <f>ROUND((F54*E50/1000000)*(1-I54),4)</f>
        <v>8.5999999999999993E-2</v>
      </c>
      <c r="L54" s="102"/>
      <c r="M54" s="3"/>
      <c r="N54" s="3"/>
      <c r="O54" s="3"/>
      <c r="P54" s="862"/>
      <c r="Q54" s="862"/>
      <c r="R54" s="145"/>
      <c r="S54" s="145"/>
      <c r="T54" s="145"/>
      <c r="U54" s="145"/>
      <c r="V54" s="145"/>
      <c r="W54" s="145"/>
    </row>
    <row r="55" spans="1:23" s="147" customFormat="1" ht="15" customHeight="1" x14ac:dyDescent="0.25">
      <c r="A55" s="1413"/>
      <c r="B55" s="1416"/>
      <c r="C55" s="1419"/>
      <c r="D55" s="1419"/>
      <c r="E55" s="1419"/>
      <c r="F55" s="7">
        <v>1.4</v>
      </c>
      <c r="G55" s="207" t="s">
        <v>151</v>
      </c>
      <c r="H55" s="23">
        <v>2908</v>
      </c>
      <c r="I55" s="204" t="s">
        <v>142</v>
      </c>
      <c r="J55" s="202">
        <f>ROUND((F55*D50/3600)*(1-I55),4)</f>
        <v>3.7000000000000002E-3</v>
      </c>
      <c r="K55" s="202">
        <f>ROUND((F55*E50/1000000)*(1-I55),4)</f>
        <v>1.1299999999999999E-2</v>
      </c>
      <c r="L55" s="102"/>
      <c r="M55" s="3"/>
      <c r="N55" s="3"/>
      <c r="O55" s="3"/>
      <c r="P55" s="862"/>
      <c r="Q55" s="862"/>
      <c r="R55" s="145"/>
      <c r="S55" s="145"/>
      <c r="T55" s="145"/>
      <c r="U55" s="145"/>
      <c r="V55" s="145"/>
      <c r="W55" s="145"/>
    </row>
    <row r="56" spans="1:23" s="147" customFormat="1" ht="15" customHeight="1" x14ac:dyDescent="0.25">
      <c r="A56" s="1414"/>
      <c r="B56" s="1417"/>
      <c r="C56" s="1420"/>
      <c r="D56" s="1420"/>
      <c r="E56" s="1420"/>
      <c r="F56" s="7">
        <v>13.3</v>
      </c>
      <c r="G56" s="203" t="s">
        <v>152</v>
      </c>
      <c r="H56" s="204" t="s">
        <v>153</v>
      </c>
      <c r="I56" s="204" t="s">
        <v>142</v>
      </c>
      <c r="J56" s="202">
        <f>ROUND((F56*D50/3600)*(1-I56),4)</f>
        <v>3.4700000000000002E-2</v>
      </c>
      <c r="K56" s="202">
        <f>ROUND((F56*E50/1000000)*(1-I56),4)</f>
        <v>0.107</v>
      </c>
      <c r="L56" s="102">
        <f>SUM(J50:J56)</f>
        <v>8.3199999999999996E-2</v>
      </c>
      <c r="M56" s="102">
        <f>SUM(K50:K56)</f>
        <v>0.25629999999999997</v>
      </c>
      <c r="N56" s="922"/>
      <c r="O56" s="3"/>
      <c r="P56" s="862"/>
      <c r="Q56" s="862"/>
      <c r="R56" s="145"/>
      <c r="S56" s="145"/>
      <c r="T56" s="145"/>
      <c r="U56" s="145"/>
      <c r="V56" s="145"/>
      <c r="W56" s="145"/>
    </row>
    <row r="57" spans="1:23" ht="15" customHeight="1" x14ac:dyDescent="0.25">
      <c r="A57" s="1411" t="s">
        <v>215</v>
      </c>
      <c r="B57" s="1411"/>
      <c r="C57" s="1411"/>
      <c r="D57" s="1411"/>
      <c r="E57" s="1411"/>
      <c r="F57" s="1411"/>
      <c r="G57" s="1411"/>
      <c r="H57" s="1411"/>
      <c r="I57" s="1411"/>
      <c r="J57" s="1411"/>
      <c r="K57" s="1411"/>
      <c r="L57" s="109"/>
      <c r="P57" s="862"/>
      <c r="Q57" s="862"/>
      <c r="R57" s="145"/>
      <c r="S57" s="145"/>
      <c r="T57" s="145"/>
      <c r="U57" s="145"/>
      <c r="V57" s="145"/>
      <c r="W57" s="145"/>
    </row>
    <row r="58" spans="1:23" s="147" customFormat="1" ht="15" customHeight="1" x14ac:dyDescent="0.25">
      <c r="A58" s="1412" t="s">
        <v>404</v>
      </c>
      <c r="B58" s="1415" t="s">
        <v>138</v>
      </c>
      <c r="C58" s="1418" t="s">
        <v>139</v>
      </c>
      <c r="D58" s="1418">
        <v>2.04</v>
      </c>
      <c r="E58" s="1418">
        <v>1169.3</v>
      </c>
      <c r="F58" s="7">
        <v>0.75</v>
      </c>
      <c r="G58" s="203" t="s">
        <v>140</v>
      </c>
      <c r="H58" s="204" t="s">
        <v>141</v>
      </c>
      <c r="I58" s="204" t="s">
        <v>142</v>
      </c>
      <c r="J58" s="202">
        <f>ROUND(F58*D58/3600,4)</f>
        <v>4.0000000000000002E-4</v>
      </c>
      <c r="K58" s="202">
        <f>ROUND(F58*E58/1000000,4)</f>
        <v>8.9999999999999998E-4</v>
      </c>
      <c r="L58" s="102"/>
      <c r="M58" s="3"/>
      <c r="N58" s="3"/>
      <c r="O58" s="3"/>
      <c r="P58" s="862"/>
      <c r="Q58" s="862"/>
      <c r="R58" s="145"/>
      <c r="S58" s="145"/>
      <c r="T58" s="145"/>
      <c r="U58" s="145"/>
      <c r="V58" s="145"/>
      <c r="W58" s="145"/>
    </row>
    <row r="59" spans="1:23" s="147" customFormat="1" ht="15" customHeight="1" x14ac:dyDescent="0.25">
      <c r="A59" s="1413"/>
      <c r="B59" s="1416"/>
      <c r="C59" s="1419"/>
      <c r="D59" s="1419"/>
      <c r="E59" s="1419"/>
      <c r="F59" s="7">
        <v>1.5</v>
      </c>
      <c r="G59" s="206" t="s">
        <v>143</v>
      </c>
      <c r="H59" s="205" t="s">
        <v>144</v>
      </c>
      <c r="I59" s="204" t="s">
        <v>142</v>
      </c>
      <c r="J59" s="202">
        <f>ROUND((F59*D58/3600)*(1-I59),4)</f>
        <v>8.9999999999999998E-4</v>
      </c>
      <c r="K59" s="202">
        <f>ROUND((F59*E58/1000000)*(1-I59),4)</f>
        <v>1.8E-3</v>
      </c>
      <c r="L59" s="102"/>
      <c r="M59" s="3"/>
      <c r="N59" s="3"/>
      <c r="O59" s="3"/>
      <c r="P59" s="862"/>
      <c r="Q59" s="862"/>
      <c r="R59" s="145"/>
      <c r="S59" s="145"/>
      <c r="T59" s="145"/>
      <c r="U59" s="145"/>
      <c r="V59" s="145"/>
      <c r="W59" s="145"/>
    </row>
    <row r="60" spans="1:23" s="147" customFormat="1" ht="15" customHeight="1" x14ac:dyDescent="0.25">
      <c r="A60" s="1413"/>
      <c r="B60" s="1416"/>
      <c r="C60" s="1419"/>
      <c r="D60" s="1419"/>
      <c r="E60" s="1419"/>
      <c r="F60" s="7">
        <v>0.92</v>
      </c>
      <c r="G60" s="203" t="s">
        <v>145</v>
      </c>
      <c r="H60" s="204" t="s">
        <v>146</v>
      </c>
      <c r="I60" s="204" t="s">
        <v>142</v>
      </c>
      <c r="J60" s="202">
        <f>ROUND((F60*D58/3600)*(1-I60),4)</f>
        <v>5.0000000000000001E-4</v>
      </c>
      <c r="K60" s="202">
        <f>ROUND((F60*E58/1000000)*(1-I60),4)</f>
        <v>1.1000000000000001E-3</v>
      </c>
      <c r="L60" s="102"/>
      <c r="M60" s="3"/>
      <c r="N60" s="3"/>
      <c r="O60" s="3"/>
      <c r="P60" s="862"/>
      <c r="Q60" s="862"/>
      <c r="R60" s="145"/>
      <c r="S60" s="145"/>
      <c r="T60" s="145"/>
      <c r="U60" s="145"/>
      <c r="V60" s="145"/>
      <c r="W60" s="145"/>
    </row>
    <row r="61" spans="1:23" s="147" customFormat="1" ht="15" customHeight="1" x14ac:dyDescent="0.25">
      <c r="A61" s="1413"/>
      <c r="B61" s="1416"/>
      <c r="C61" s="1419"/>
      <c r="D61" s="1419"/>
      <c r="E61" s="1419"/>
      <c r="F61" s="7">
        <v>3.3</v>
      </c>
      <c r="G61" s="203" t="s">
        <v>147</v>
      </c>
      <c r="H61" s="204" t="s">
        <v>148</v>
      </c>
      <c r="I61" s="204" t="s">
        <v>142</v>
      </c>
      <c r="J61" s="202">
        <f>ROUND((F61*D58/3600)*(1-I61),4)</f>
        <v>1.9E-3</v>
      </c>
      <c r="K61" s="202">
        <f>ROUND((F61*E58/1000000)*(1-I61),4)</f>
        <v>3.8999999999999998E-3</v>
      </c>
      <c r="L61" s="102"/>
      <c r="M61" s="3"/>
      <c r="N61" s="3"/>
      <c r="O61" s="3"/>
      <c r="P61" s="862"/>
      <c r="Q61" s="862"/>
      <c r="R61" s="145"/>
      <c r="S61" s="145"/>
      <c r="T61" s="145"/>
      <c r="U61" s="145"/>
      <c r="V61" s="145"/>
      <c r="W61" s="145"/>
    </row>
    <row r="62" spans="1:23" s="147" customFormat="1" ht="15" customHeight="1" x14ac:dyDescent="0.25">
      <c r="A62" s="1413"/>
      <c r="B62" s="1416"/>
      <c r="C62" s="1419"/>
      <c r="D62" s="1419"/>
      <c r="E62" s="1419"/>
      <c r="F62" s="7">
        <v>10.69</v>
      </c>
      <c r="G62" s="203" t="s">
        <v>149</v>
      </c>
      <c r="H62" s="204" t="s">
        <v>150</v>
      </c>
      <c r="I62" s="204" t="s">
        <v>142</v>
      </c>
      <c r="J62" s="202">
        <f>ROUND((F62*D58/3600)*(1-I62),4)</f>
        <v>6.1000000000000004E-3</v>
      </c>
      <c r="K62" s="202">
        <f>ROUND((F62*E58/1000000)*(1-I62),4)</f>
        <v>1.2500000000000001E-2</v>
      </c>
      <c r="L62" s="102"/>
      <c r="M62" s="3"/>
      <c r="N62" s="3"/>
      <c r="O62" s="3"/>
      <c r="P62" s="862"/>
      <c r="Q62" s="862"/>
      <c r="R62" s="145"/>
      <c r="S62" s="145"/>
      <c r="T62" s="145"/>
      <c r="U62" s="145"/>
      <c r="V62" s="145"/>
      <c r="W62" s="145"/>
    </row>
    <row r="63" spans="1:23" s="147" customFormat="1" ht="15" customHeight="1" x14ac:dyDescent="0.25">
      <c r="A63" s="1413"/>
      <c r="B63" s="1416"/>
      <c r="C63" s="1419"/>
      <c r="D63" s="1419"/>
      <c r="E63" s="1419"/>
      <c r="F63" s="7">
        <v>1.4</v>
      </c>
      <c r="G63" s="207" t="s">
        <v>151</v>
      </c>
      <c r="H63" s="23">
        <v>2908</v>
      </c>
      <c r="I63" s="204" t="s">
        <v>142</v>
      </c>
      <c r="J63" s="202">
        <f>ROUND((F63*D58/3600)*(1-I63),4)</f>
        <v>8.0000000000000004E-4</v>
      </c>
      <c r="K63" s="202">
        <f>ROUND((F63*E58/1000000)*(1-I63),4)</f>
        <v>1.6000000000000001E-3</v>
      </c>
      <c r="L63" s="102"/>
      <c r="M63" s="3"/>
      <c r="N63" s="3"/>
      <c r="O63" s="3"/>
      <c r="P63" s="862"/>
      <c r="Q63" s="862"/>
      <c r="R63" s="145"/>
      <c r="S63" s="145"/>
      <c r="T63" s="145"/>
      <c r="U63" s="145"/>
      <c r="V63" s="145"/>
      <c r="W63" s="145"/>
    </row>
    <row r="64" spans="1:23" s="147" customFormat="1" ht="15" customHeight="1" x14ac:dyDescent="0.25">
      <c r="A64" s="1414"/>
      <c r="B64" s="1417"/>
      <c r="C64" s="1420"/>
      <c r="D64" s="1420"/>
      <c r="E64" s="1420"/>
      <c r="F64" s="7">
        <v>13.3</v>
      </c>
      <c r="G64" s="203" t="s">
        <v>152</v>
      </c>
      <c r="H64" s="204" t="s">
        <v>153</v>
      </c>
      <c r="I64" s="204" t="s">
        <v>142</v>
      </c>
      <c r="J64" s="202">
        <f>ROUND((F64*D58/3600)*(1-I64),4)</f>
        <v>7.4999999999999997E-3</v>
      </c>
      <c r="K64" s="202">
        <f>ROUND((F64*E58/1000000)*(1-I64),4)</f>
        <v>1.5599999999999999E-2</v>
      </c>
      <c r="L64" s="102">
        <f>SUM(J58:J64)</f>
        <v>1.8099999999999998E-2</v>
      </c>
      <c r="M64" s="102">
        <f>SUM(K58:K64)</f>
        <v>3.7400000000000003E-2</v>
      </c>
      <c r="N64" s="922"/>
      <c r="O64" s="3"/>
      <c r="P64" s="862"/>
      <c r="Q64" s="862"/>
      <c r="R64" s="145"/>
      <c r="S64" s="145"/>
      <c r="T64" s="145"/>
      <c r="U64" s="145"/>
      <c r="V64" s="145"/>
      <c r="W64" s="145"/>
    </row>
    <row r="65" spans="1:23" ht="15" customHeight="1" x14ac:dyDescent="0.25">
      <c r="A65" s="1411" t="s">
        <v>244</v>
      </c>
      <c r="B65" s="1411"/>
      <c r="C65" s="1411"/>
      <c r="D65" s="1411"/>
      <c r="E65" s="1411"/>
      <c r="F65" s="1411"/>
      <c r="G65" s="1411"/>
      <c r="H65" s="1411"/>
      <c r="I65" s="1411"/>
      <c r="J65" s="1411"/>
      <c r="K65" s="1411"/>
      <c r="L65" s="109"/>
      <c r="P65" s="862"/>
      <c r="Q65" s="862"/>
      <c r="R65" s="145"/>
      <c r="S65" s="145"/>
      <c r="T65" s="145"/>
      <c r="U65" s="145"/>
      <c r="V65" s="145"/>
      <c r="W65" s="145"/>
    </row>
    <row r="66" spans="1:23" s="147" customFormat="1" ht="15" customHeight="1" x14ac:dyDescent="0.25">
      <c r="A66" s="1412" t="s">
        <v>432</v>
      </c>
      <c r="B66" s="1415" t="s">
        <v>138</v>
      </c>
      <c r="C66" s="1418" t="s">
        <v>139</v>
      </c>
      <c r="D66" s="1418">
        <v>4.18</v>
      </c>
      <c r="E66" s="1418">
        <v>3584.3</v>
      </c>
      <c r="F66" s="7">
        <v>0.75</v>
      </c>
      <c r="G66" s="203" t="s">
        <v>140</v>
      </c>
      <c r="H66" s="204" t="s">
        <v>141</v>
      </c>
      <c r="I66" s="204" t="s">
        <v>142</v>
      </c>
      <c r="J66" s="202">
        <f>ROUND(F66*D66/3600,4)</f>
        <v>8.9999999999999998E-4</v>
      </c>
      <c r="K66" s="202">
        <f>ROUND(F66*E66/1000000,4)</f>
        <v>2.7000000000000001E-3</v>
      </c>
      <c r="L66" s="102"/>
      <c r="M66" s="3"/>
      <c r="N66" s="3"/>
      <c r="O66" s="3"/>
      <c r="P66" s="862"/>
      <c r="Q66" s="862"/>
      <c r="R66" s="145"/>
      <c r="S66" s="145"/>
      <c r="T66" s="145"/>
      <c r="U66" s="145"/>
      <c r="V66" s="145"/>
      <c r="W66" s="145"/>
    </row>
    <row r="67" spans="1:23" s="147" customFormat="1" ht="15" customHeight="1" x14ac:dyDescent="0.25">
      <c r="A67" s="1413"/>
      <c r="B67" s="1416"/>
      <c r="C67" s="1419"/>
      <c r="D67" s="1419"/>
      <c r="E67" s="1419"/>
      <c r="F67" s="7">
        <v>1.5</v>
      </c>
      <c r="G67" s="206" t="s">
        <v>143</v>
      </c>
      <c r="H67" s="205" t="s">
        <v>144</v>
      </c>
      <c r="I67" s="204" t="s">
        <v>142</v>
      </c>
      <c r="J67" s="202">
        <f>ROUND((F67*D66/3600)*(1-I67),4)</f>
        <v>1.6999999999999999E-3</v>
      </c>
      <c r="K67" s="202">
        <f>ROUND((F67*E66/1000000)*(1-I67),4)</f>
        <v>5.4000000000000003E-3</v>
      </c>
      <c r="L67" s="102"/>
      <c r="M67" s="3"/>
      <c r="N67" s="3"/>
      <c r="O67" s="3"/>
      <c r="P67" s="862"/>
      <c r="Q67" s="862"/>
      <c r="R67" s="145"/>
      <c r="S67" s="145"/>
      <c r="T67" s="145"/>
      <c r="U67" s="145"/>
      <c r="V67" s="145"/>
      <c r="W67" s="145"/>
    </row>
    <row r="68" spans="1:23" s="147" customFormat="1" ht="15" customHeight="1" x14ac:dyDescent="0.25">
      <c r="A68" s="1413"/>
      <c r="B68" s="1416"/>
      <c r="C68" s="1419"/>
      <c r="D68" s="1419"/>
      <c r="E68" s="1419"/>
      <c r="F68" s="7">
        <v>0.92</v>
      </c>
      <c r="G68" s="203" t="s">
        <v>145</v>
      </c>
      <c r="H68" s="204" t="s">
        <v>146</v>
      </c>
      <c r="I68" s="204" t="s">
        <v>142</v>
      </c>
      <c r="J68" s="202">
        <f>ROUND((F68*D66/3600)*(1-I68),4)</f>
        <v>1.1000000000000001E-3</v>
      </c>
      <c r="K68" s="202">
        <f>ROUND((F68*E66/1000000)*(1-I68),4)</f>
        <v>3.3E-3</v>
      </c>
      <c r="L68" s="102"/>
      <c r="M68" s="3"/>
      <c r="N68" s="3"/>
      <c r="O68" s="3"/>
      <c r="P68" s="862"/>
      <c r="Q68" s="862"/>
      <c r="R68" s="145"/>
      <c r="S68" s="145"/>
      <c r="T68" s="145"/>
      <c r="U68" s="145"/>
      <c r="V68" s="145"/>
      <c r="W68" s="145"/>
    </row>
    <row r="69" spans="1:23" s="147" customFormat="1" ht="15" customHeight="1" x14ac:dyDescent="0.25">
      <c r="A69" s="1413"/>
      <c r="B69" s="1416"/>
      <c r="C69" s="1419"/>
      <c r="D69" s="1419"/>
      <c r="E69" s="1419"/>
      <c r="F69" s="7">
        <v>3.3</v>
      </c>
      <c r="G69" s="203" t="s">
        <v>147</v>
      </c>
      <c r="H69" s="204" t="s">
        <v>148</v>
      </c>
      <c r="I69" s="204" t="s">
        <v>142</v>
      </c>
      <c r="J69" s="202">
        <f>ROUND((F69*D66/3600)*(1-I69),4)</f>
        <v>3.8E-3</v>
      </c>
      <c r="K69" s="202">
        <f>ROUND((F69*E66/1000000)*(1-I69),4)</f>
        <v>1.18E-2</v>
      </c>
      <c r="L69" s="102"/>
      <c r="M69" s="3"/>
      <c r="N69" s="3"/>
      <c r="O69" s="3"/>
      <c r="P69" s="862"/>
      <c r="Q69" s="862"/>
      <c r="R69" s="145"/>
      <c r="S69" s="145"/>
      <c r="T69" s="145"/>
      <c r="U69" s="145"/>
      <c r="V69" s="145"/>
      <c r="W69" s="145"/>
    </row>
    <row r="70" spans="1:23" s="147" customFormat="1" ht="15" customHeight="1" x14ac:dyDescent="0.25">
      <c r="A70" s="1413"/>
      <c r="B70" s="1416"/>
      <c r="C70" s="1419"/>
      <c r="D70" s="1419"/>
      <c r="E70" s="1419"/>
      <c r="F70" s="7">
        <v>10.69</v>
      </c>
      <c r="G70" s="203" t="s">
        <v>149</v>
      </c>
      <c r="H70" s="204" t="s">
        <v>150</v>
      </c>
      <c r="I70" s="204" t="s">
        <v>142</v>
      </c>
      <c r="J70" s="202">
        <f>ROUND((F70*D66/3600)*(1-I70),4)</f>
        <v>1.24E-2</v>
      </c>
      <c r="K70" s="202">
        <f>ROUND((F70*E66/1000000)*(1-I70),4)</f>
        <v>3.8300000000000001E-2</v>
      </c>
      <c r="L70" s="102"/>
      <c r="M70" s="3"/>
      <c r="N70" s="3"/>
      <c r="O70" s="3"/>
      <c r="P70" s="862"/>
      <c r="Q70" s="862"/>
      <c r="R70" s="145"/>
      <c r="S70" s="145"/>
      <c r="T70" s="145"/>
      <c r="U70" s="145"/>
      <c r="V70" s="145"/>
      <c r="W70" s="145"/>
    </row>
    <row r="71" spans="1:23" s="147" customFormat="1" ht="15" customHeight="1" x14ac:dyDescent="0.25">
      <c r="A71" s="1413"/>
      <c r="B71" s="1416"/>
      <c r="C71" s="1419"/>
      <c r="D71" s="1419"/>
      <c r="E71" s="1419"/>
      <c r="F71" s="7">
        <v>1.4</v>
      </c>
      <c r="G71" s="207" t="s">
        <v>151</v>
      </c>
      <c r="H71" s="23">
        <v>2908</v>
      </c>
      <c r="I71" s="204" t="s">
        <v>142</v>
      </c>
      <c r="J71" s="202">
        <f>ROUND((F71*D66/3600)*(1-I71),4)</f>
        <v>1.6000000000000001E-3</v>
      </c>
      <c r="K71" s="202">
        <f>ROUND((F71*E66/1000000)*(1-I71),4)</f>
        <v>5.0000000000000001E-3</v>
      </c>
      <c r="L71" s="102"/>
      <c r="M71" s="3"/>
      <c r="N71" s="3"/>
      <c r="O71" s="3"/>
      <c r="P71" s="862"/>
      <c r="Q71" s="862"/>
      <c r="R71" s="145"/>
      <c r="S71" s="145"/>
      <c r="T71" s="145"/>
      <c r="U71" s="145"/>
      <c r="V71" s="145"/>
      <c r="W71" s="145"/>
    </row>
    <row r="72" spans="1:23" s="147" customFormat="1" ht="15" customHeight="1" x14ac:dyDescent="0.25">
      <c r="A72" s="1414"/>
      <c r="B72" s="1417"/>
      <c r="C72" s="1420"/>
      <c r="D72" s="1420"/>
      <c r="E72" s="1420"/>
      <c r="F72" s="7">
        <v>13.3</v>
      </c>
      <c r="G72" s="203" t="s">
        <v>152</v>
      </c>
      <c r="H72" s="204" t="s">
        <v>153</v>
      </c>
      <c r="I72" s="204" t="s">
        <v>142</v>
      </c>
      <c r="J72" s="202">
        <f>ROUND((F72*D66/3600)*(1-I72),4)</f>
        <v>1.54E-2</v>
      </c>
      <c r="K72" s="202">
        <f>ROUND((F72*E66/1000000)*(1-I72),4)</f>
        <v>4.7699999999999999E-2</v>
      </c>
      <c r="L72" s="102">
        <f>SUM(J66:J72)</f>
        <v>3.6900000000000002E-2</v>
      </c>
      <c r="M72" s="102">
        <f>SUM(K66:K72)</f>
        <v>0.1142</v>
      </c>
      <c r="N72" s="922"/>
      <c r="O72" s="3"/>
      <c r="P72" s="862"/>
      <c r="Q72" s="862"/>
      <c r="R72" s="145"/>
      <c r="S72" s="145"/>
      <c r="T72" s="145"/>
      <c r="U72" s="145"/>
      <c r="V72" s="145"/>
      <c r="W72" s="145"/>
    </row>
    <row r="73" spans="1:23" ht="15" customHeight="1" x14ac:dyDescent="0.25">
      <c r="A73" s="1411" t="s">
        <v>264</v>
      </c>
      <c r="B73" s="1411"/>
      <c r="C73" s="1411"/>
      <c r="D73" s="1411"/>
      <c r="E73" s="1411"/>
      <c r="F73" s="1411"/>
      <c r="G73" s="1411"/>
      <c r="H73" s="1411"/>
      <c r="I73" s="1411"/>
      <c r="J73" s="1411"/>
      <c r="K73" s="1411"/>
      <c r="L73" s="109"/>
      <c r="P73" s="862"/>
      <c r="Q73" s="862"/>
      <c r="R73" s="145"/>
      <c r="S73" s="145"/>
      <c r="T73" s="145"/>
      <c r="U73" s="145"/>
      <c r="V73" s="145"/>
      <c r="W73" s="145"/>
    </row>
    <row r="74" spans="1:23" s="147" customFormat="1" ht="15" customHeight="1" x14ac:dyDescent="0.25">
      <c r="A74" s="1412" t="s">
        <v>477</v>
      </c>
      <c r="B74" s="1415" t="s">
        <v>138</v>
      </c>
      <c r="C74" s="1418" t="s">
        <v>139</v>
      </c>
      <c r="D74" s="1418">
        <v>31.2</v>
      </c>
      <c r="E74" s="1418">
        <v>17844.2</v>
      </c>
      <c r="F74" s="7">
        <v>0.75</v>
      </c>
      <c r="G74" s="203" t="s">
        <v>140</v>
      </c>
      <c r="H74" s="204" t="s">
        <v>141</v>
      </c>
      <c r="I74" s="204" t="s">
        <v>142</v>
      </c>
      <c r="J74" s="202">
        <f>ROUND(F74*D74/3600,4)</f>
        <v>6.4999999999999997E-3</v>
      </c>
      <c r="K74" s="202">
        <f>ROUND(F74*E74/1000000,4)</f>
        <v>1.34E-2</v>
      </c>
      <c r="L74" s="102"/>
      <c r="M74" s="3"/>
      <c r="N74" s="3"/>
      <c r="O74" s="3"/>
      <c r="P74" s="862"/>
      <c r="Q74" s="862"/>
      <c r="R74" s="145"/>
      <c r="S74" s="145"/>
      <c r="T74" s="145"/>
      <c r="U74" s="145"/>
      <c r="V74" s="145"/>
      <c r="W74" s="145"/>
    </row>
    <row r="75" spans="1:23" s="147" customFormat="1" ht="15" customHeight="1" x14ac:dyDescent="0.25">
      <c r="A75" s="1413"/>
      <c r="B75" s="1416"/>
      <c r="C75" s="1419"/>
      <c r="D75" s="1419"/>
      <c r="E75" s="1419"/>
      <c r="F75" s="7">
        <v>1.5</v>
      </c>
      <c r="G75" s="206" t="s">
        <v>143</v>
      </c>
      <c r="H75" s="205" t="s">
        <v>144</v>
      </c>
      <c r="I75" s="204" t="s">
        <v>142</v>
      </c>
      <c r="J75" s="202">
        <f>ROUND((F75*D74/3600)*(1-I75),4)</f>
        <v>1.2999999999999999E-2</v>
      </c>
      <c r="K75" s="202">
        <f>ROUND((F75*E74/1000000)*(1-I75),4)</f>
        <v>2.6800000000000001E-2</v>
      </c>
      <c r="L75" s="102"/>
      <c r="M75" s="3"/>
      <c r="N75" s="3"/>
      <c r="O75" s="3"/>
      <c r="P75" s="862"/>
      <c r="Q75" s="862"/>
      <c r="R75" s="145"/>
      <c r="S75" s="145"/>
      <c r="T75" s="145"/>
      <c r="U75" s="145"/>
      <c r="V75" s="145"/>
      <c r="W75" s="145"/>
    </row>
    <row r="76" spans="1:23" s="147" customFormat="1" ht="15" customHeight="1" x14ac:dyDescent="0.25">
      <c r="A76" s="1413"/>
      <c r="B76" s="1416"/>
      <c r="C76" s="1419"/>
      <c r="D76" s="1419"/>
      <c r="E76" s="1419"/>
      <c r="F76" s="7">
        <v>0.92</v>
      </c>
      <c r="G76" s="203" t="s">
        <v>145</v>
      </c>
      <c r="H76" s="204" t="s">
        <v>146</v>
      </c>
      <c r="I76" s="204" t="s">
        <v>142</v>
      </c>
      <c r="J76" s="202">
        <f>ROUND((F76*D74/3600)*(1-I76),4)</f>
        <v>8.0000000000000002E-3</v>
      </c>
      <c r="K76" s="202">
        <f>ROUND((F76*E74/1000000)*(1-I76),4)</f>
        <v>1.6400000000000001E-2</v>
      </c>
      <c r="L76" s="102"/>
      <c r="M76" s="3"/>
      <c r="N76" s="3"/>
      <c r="O76" s="3"/>
      <c r="P76" s="862"/>
      <c r="Q76" s="862"/>
      <c r="R76" s="145"/>
      <c r="S76" s="145"/>
      <c r="T76" s="145"/>
      <c r="U76" s="145"/>
      <c r="V76" s="145"/>
      <c r="W76" s="145"/>
    </row>
    <row r="77" spans="1:23" s="147" customFormat="1" ht="15" customHeight="1" x14ac:dyDescent="0.25">
      <c r="A77" s="1413"/>
      <c r="B77" s="1416"/>
      <c r="C77" s="1419"/>
      <c r="D77" s="1419"/>
      <c r="E77" s="1419"/>
      <c r="F77" s="7">
        <v>3.3</v>
      </c>
      <c r="G77" s="203" t="s">
        <v>147</v>
      </c>
      <c r="H77" s="204" t="s">
        <v>148</v>
      </c>
      <c r="I77" s="204" t="s">
        <v>142</v>
      </c>
      <c r="J77" s="202">
        <f>ROUND((F77*D74/3600)*(1-I77),4)</f>
        <v>2.86E-2</v>
      </c>
      <c r="K77" s="202">
        <f>ROUND((F77*E74/1000000)*(1-I77),4)</f>
        <v>5.8900000000000001E-2</v>
      </c>
      <c r="L77" s="102"/>
      <c r="M77" s="3"/>
      <c r="N77" s="3"/>
      <c r="O77" s="3"/>
      <c r="P77" s="862"/>
      <c r="Q77" s="862"/>
      <c r="R77" s="145"/>
      <c r="S77" s="145"/>
      <c r="T77" s="145"/>
      <c r="U77" s="145"/>
      <c r="V77" s="145"/>
      <c r="W77" s="145"/>
    </row>
    <row r="78" spans="1:23" s="147" customFormat="1" ht="15" customHeight="1" x14ac:dyDescent="0.25">
      <c r="A78" s="1413"/>
      <c r="B78" s="1416"/>
      <c r="C78" s="1419"/>
      <c r="D78" s="1419"/>
      <c r="E78" s="1419"/>
      <c r="F78" s="7">
        <v>10.69</v>
      </c>
      <c r="G78" s="203" t="s">
        <v>149</v>
      </c>
      <c r="H78" s="204" t="s">
        <v>150</v>
      </c>
      <c r="I78" s="204" t="s">
        <v>142</v>
      </c>
      <c r="J78" s="202">
        <f>ROUND((F78*D74/3600)*(1-I78),4)</f>
        <v>9.2600000000000002E-2</v>
      </c>
      <c r="K78" s="202">
        <f>ROUND((F78*E74/1000000)*(1-I78),4)</f>
        <v>0.1908</v>
      </c>
      <c r="L78" s="102"/>
      <c r="M78" s="3"/>
      <c r="N78" s="3"/>
      <c r="O78" s="3"/>
      <c r="P78" s="862"/>
      <c r="Q78" s="862"/>
      <c r="R78" s="145"/>
      <c r="S78" s="145"/>
      <c r="T78" s="145"/>
      <c r="U78" s="145"/>
      <c r="V78" s="145"/>
      <c r="W78" s="145"/>
    </row>
    <row r="79" spans="1:23" s="147" customFormat="1" ht="15" customHeight="1" x14ac:dyDescent="0.25">
      <c r="A79" s="1413"/>
      <c r="B79" s="1416"/>
      <c r="C79" s="1419"/>
      <c r="D79" s="1419"/>
      <c r="E79" s="1419"/>
      <c r="F79" s="7">
        <v>1.4</v>
      </c>
      <c r="G79" s="207" t="s">
        <v>151</v>
      </c>
      <c r="H79" s="23">
        <v>2908</v>
      </c>
      <c r="I79" s="204" t="s">
        <v>142</v>
      </c>
      <c r="J79" s="202">
        <f>ROUND((F79*D74/3600)*(1-I79),4)</f>
        <v>1.21E-2</v>
      </c>
      <c r="K79" s="202">
        <f>ROUND((F79*E74/1000000)*(1-I79),4)</f>
        <v>2.5000000000000001E-2</v>
      </c>
      <c r="L79" s="102"/>
      <c r="M79" s="3"/>
      <c r="N79" s="3"/>
      <c r="O79" s="3"/>
      <c r="P79" s="862"/>
      <c r="Q79" s="862"/>
      <c r="R79" s="145"/>
      <c r="S79" s="145"/>
      <c r="T79" s="145"/>
      <c r="U79" s="145"/>
      <c r="V79" s="145"/>
      <c r="W79" s="145"/>
    </row>
    <row r="80" spans="1:23" s="147" customFormat="1" ht="15" customHeight="1" x14ac:dyDescent="0.25">
      <c r="A80" s="1414"/>
      <c r="B80" s="1417"/>
      <c r="C80" s="1420"/>
      <c r="D80" s="1420"/>
      <c r="E80" s="1420"/>
      <c r="F80" s="7">
        <v>13.3</v>
      </c>
      <c r="G80" s="203" t="s">
        <v>152</v>
      </c>
      <c r="H80" s="204" t="s">
        <v>153</v>
      </c>
      <c r="I80" s="204" t="s">
        <v>142</v>
      </c>
      <c r="J80" s="202">
        <f>ROUND((F80*D74/3600)*(1-I80),4)</f>
        <v>0.1153</v>
      </c>
      <c r="K80" s="202">
        <f>ROUND((F80*E74/1000000)*(1-I80),4)</f>
        <v>0.23730000000000001</v>
      </c>
      <c r="L80" s="102">
        <f>SUM(J74:J80)</f>
        <v>0.27610000000000001</v>
      </c>
      <c r="M80" s="102">
        <f>SUM(K74:K80)</f>
        <v>0.56859999999999999</v>
      </c>
      <c r="N80" s="922"/>
      <c r="O80" s="3"/>
      <c r="P80" s="862"/>
      <c r="Q80" s="862"/>
      <c r="R80" s="145"/>
      <c r="S80" s="145"/>
      <c r="T80" s="145"/>
      <c r="U80" s="145"/>
      <c r="V80" s="145"/>
      <c r="W80" s="145"/>
    </row>
    <row r="81" spans="1:23" ht="15" customHeight="1" x14ac:dyDescent="0.25">
      <c r="A81" s="1411" t="s">
        <v>276</v>
      </c>
      <c r="B81" s="1411"/>
      <c r="C81" s="1411"/>
      <c r="D81" s="1411"/>
      <c r="E81" s="1411"/>
      <c r="F81" s="1411"/>
      <c r="G81" s="1411"/>
      <c r="H81" s="1411"/>
      <c r="I81" s="1411"/>
      <c r="J81" s="1411"/>
      <c r="K81" s="1411"/>
      <c r="L81" s="109"/>
      <c r="P81" s="862"/>
      <c r="Q81" s="862"/>
      <c r="R81" s="145"/>
      <c r="S81" s="145"/>
      <c r="T81" s="145"/>
      <c r="U81" s="145"/>
      <c r="V81" s="145"/>
      <c r="W81" s="145"/>
    </row>
    <row r="82" spans="1:23" s="147" customFormat="1" ht="15" customHeight="1" x14ac:dyDescent="0.25">
      <c r="A82" s="1412" t="s">
        <v>487</v>
      </c>
      <c r="B82" s="1415" t="s">
        <v>138</v>
      </c>
      <c r="C82" s="1418" t="s">
        <v>139</v>
      </c>
      <c r="D82" s="1418">
        <v>14.11</v>
      </c>
      <c r="E82" s="1418">
        <v>16137.6</v>
      </c>
      <c r="F82" s="7">
        <v>0.75</v>
      </c>
      <c r="G82" s="203" t="s">
        <v>140</v>
      </c>
      <c r="H82" s="204" t="s">
        <v>141</v>
      </c>
      <c r="I82" s="204" t="s">
        <v>142</v>
      </c>
      <c r="J82" s="202">
        <f>ROUND(F82*D82/3600,4)</f>
        <v>2.8999999999999998E-3</v>
      </c>
      <c r="K82" s="202">
        <f>ROUND(F82*E82/1000000,4)</f>
        <v>1.21E-2</v>
      </c>
      <c r="L82" s="102"/>
      <c r="M82" s="3"/>
      <c r="N82" s="3"/>
      <c r="O82" s="3"/>
      <c r="P82" s="862"/>
      <c r="Q82" s="862"/>
      <c r="R82" s="145"/>
      <c r="S82" s="145"/>
      <c r="T82" s="145"/>
      <c r="U82" s="145"/>
      <c r="V82" s="145"/>
      <c r="W82" s="145"/>
    </row>
    <row r="83" spans="1:23" s="147" customFormat="1" ht="15" customHeight="1" x14ac:dyDescent="0.25">
      <c r="A83" s="1413"/>
      <c r="B83" s="1416"/>
      <c r="C83" s="1419"/>
      <c r="D83" s="1419"/>
      <c r="E83" s="1419"/>
      <c r="F83" s="7">
        <v>1.5</v>
      </c>
      <c r="G83" s="206" t="s">
        <v>143</v>
      </c>
      <c r="H83" s="205" t="s">
        <v>144</v>
      </c>
      <c r="I83" s="204" t="s">
        <v>142</v>
      </c>
      <c r="J83" s="202">
        <f>ROUND((F83*D82/3600)*(1-I83),4)</f>
        <v>5.8999999999999999E-3</v>
      </c>
      <c r="K83" s="202">
        <f>ROUND((F83*E82/1000000)*(1-I83),4)</f>
        <v>2.4199999999999999E-2</v>
      </c>
      <c r="L83" s="102"/>
      <c r="M83" s="3"/>
      <c r="N83" s="3"/>
      <c r="O83" s="3"/>
      <c r="P83" s="862"/>
      <c r="Q83" s="862"/>
      <c r="R83" s="145"/>
      <c r="S83" s="145"/>
      <c r="T83" s="145"/>
      <c r="U83" s="145"/>
      <c r="V83" s="145"/>
      <c r="W83" s="145"/>
    </row>
    <row r="84" spans="1:23" s="147" customFormat="1" ht="15" customHeight="1" x14ac:dyDescent="0.25">
      <c r="A84" s="1413"/>
      <c r="B84" s="1416"/>
      <c r="C84" s="1419"/>
      <c r="D84" s="1419"/>
      <c r="E84" s="1419"/>
      <c r="F84" s="7">
        <v>0.92</v>
      </c>
      <c r="G84" s="203" t="s">
        <v>145</v>
      </c>
      <c r="H84" s="204" t="s">
        <v>146</v>
      </c>
      <c r="I84" s="204" t="s">
        <v>142</v>
      </c>
      <c r="J84" s="202">
        <f>ROUND((F84*D82/3600)*(1-I84),4)</f>
        <v>3.5999999999999999E-3</v>
      </c>
      <c r="K84" s="202">
        <f>ROUND((F84*E82/1000000)*(1-I84),4)</f>
        <v>1.4800000000000001E-2</v>
      </c>
      <c r="L84" s="102"/>
      <c r="M84" s="3"/>
      <c r="N84" s="3"/>
      <c r="O84" s="3"/>
      <c r="P84" s="862"/>
      <c r="Q84" s="862"/>
      <c r="R84" s="145"/>
      <c r="S84" s="145"/>
      <c r="T84" s="145"/>
      <c r="U84" s="145"/>
      <c r="V84" s="145"/>
      <c r="W84" s="145"/>
    </row>
    <row r="85" spans="1:23" s="147" customFormat="1" ht="15" customHeight="1" x14ac:dyDescent="0.25">
      <c r="A85" s="1413"/>
      <c r="B85" s="1416"/>
      <c r="C85" s="1419"/>
      <c r="D85" s="1419"/>
      <c r="E85" s="1419"/>
      <c r="F85" s="7">
        <v>3.3</v>
      </c>
      <c r="G85" s="203" t="s">
        <v>147</v>
      </c>
      <c r="H85" s="204" t="s">
        <v>148</v>
      </c>
      <c r="I85" s="204" t="s">
        <v>142</v>
      </c>
      <c r="J85" s="202">
        <f>ROUND((F85*D82/3600)*(1-I85),4)</f>
        <v>1.29E-2</v>
      </c>
      <c r="K85" s="202">
        <f>ROUND((F85*E82/1000000)*(1-I85),4)</f>
        <v>5.33E-2</v>
      </c>
      <c r="L85" s="102"/>
      <c r="M85" s="3"/>
      <c r="N85" s="3"/>
      <c r="O85" s="3"/>
      <c r="P85" s="862"/>
      <c r="Q85" s="862"/>
      <c r="R85" s="145"/>
      <c r="S85" s="145"/>
      <c r="T85" s="145"/>
      <c r="U85" s="145"/>
      <c r="V85" s="145"/>
      <c r="W85" s="145"/>
    </row>
    <row r="86" spans="1:23" s="147" customFormat="1" ht="15" customHeight="1" x14ac:dyDescent="0.25">
      <c r="A86" s="1413"/>
      <c r="B86" s="1416"/>
      <c r="C86" s="1419"/>
      <c r="D86" s="1419"/>
      <c r="E86" s="1419"/>
      <c r="F86" s="7">
        <v>10.69</v>
      </c>
      <c r="G86" s="203" t="s">
        <v>149</v>
      </c>
      <c r="H86" s="204" t="s">
        <v>150</v>
      </c>
      <c r="I86" s="204" t="s">
        <v>142</v>
      </c>
      <c r="J86" s="202">
        <f>ROUND((F86*D82/3600)*(1-I86),4)</f>
        <v>4.19E-2</v>
      </c>
      <c r="K86" s="202">
        <f>ROUND((F86*E82/1000000)*(1-I86),4)</f>
        <v>0.17249999999999999</v>
      </c>
      <c r="L86" s="102"/>
      <c r="M86" s="3"/>
      <c r="N86" s="3"/>
      <c r="O86" s="3"/>
      <c r="P86" s="862"/>
      <c r="Q86" s="862"/>
      <c r="R86" s="145"/>
      <c r="S86" s="145"/>
      <c r="T86" s="145"/>
      <c r="U86" s="145"/>
      <c r="V86" s="145"/>
      <c r="W86" s="145"/>
    </row>
    <row r="87" spans="1:23" s="147" customFormat="1" ht="15" customHeight="1" x14ac:dyDescent="0.25">
      <c r="A87" s="1413"/>
      <c r="B87" s="1416"/>
      <c r="C87" s="1419"/>
      <c r="D87" s="1419"/>
      <c r="E87" s="1419"/>
      <c r="F87" s="7">
        <v>1.4</v>
      </c>
      <c r="G87" s="207" t="s">
        <v>151</v>
      </c>
      <c r="H87" s="23">
        <v>2908</v>
      </c>
      <c r="I87" s="204" t="s">
        <v>142</v>
      </c>
      <c r="J87" s="202">
        <f>ROUND((F87*D82/3600)*(1-I87),4)</f>
        <v>5.4999999999999997E-3</v>
      </c>
      <c r="K87" s="202">
        <f>ROUND((F87*E82/1000000)*(1-I87),4)</f>
        <v>2.2599999999999999E-2</v>
      </c>
      <c r="L87" s="102"/>
      <c r="M87" s="3"/>
      <c r="N87" s="3"/>
      <c r="O87" s="3"/>
      <c r="P87" s="862"/>
      <c r="Q87" s="862"/>
      <c r="R87" s="145"/>
      <c r="S87" s="145"/>
      <c r="T87" s="145"/>
      <c r="U87" s="145"/>
      <c r="V87" s="145"/>
      <c r="W87" s="145"/>
    </row>
    <row r="88" spans="1:23" s="147" customFormat="1" ht="15" customHeight="1" x14ac:dyDescent="0.25">
      <c r="A88" s="1414"/>
      <c r="B88" s="1417"/>
      <c r="C88" s="1420"/>
      <c r="D88" s="1420"/>
      <c r="E88" s="1420"/>
      <c r="F88" s="7">
        <v>13.3</v>
      </c>
      <c r="G88" s="203" t="s">
        <v>152</v>
      </c>
      <c r="H88" s="204" t="s">
        <v>153</v>
      </c>
      <c r="I88" s="204" t="s">
        <v>142</v>
      </c>
      <c r="J88" s="202">
        <f>ROUND((F88*D82/3600)*(1-I88),4)</f>
        <v>5.21E-2</v>
      </c>
      <c r="K88" s="202">
        <f>ROUND((F88*E82/1000000)*(1-I88),4)</f>
        <v>0.21460000000000001</v>
      </c>
      <c r="L88" s="102">
        <f>SUM(J82:J88)</f>
        <v>0.12479999999999999</v>
      </c>
      <c r="M88" s="102">
        <f>SUM(K82:K88)</f>
        <v>0.5141</v>
      </c>
      <c r="N88" s="922"/>
      <c r="O88" s="3"/>
      <c r="P88" s="862"/>
      <c r="Q88" s="862"/>
      <c r="R88" s="145"/>
      <c r="S88" s="145"/>
      <c r="T88" s="145"/>
      <c r="U88" s="145"/>
      <c r="V88" s="145"/>
      <c r="W88" s="145"/>
    </row>
    <row r="89" spans="1:23" ht="15" customHeight="1" x14ac:dyDescent="0.25">
      <c r="A89" s="1411" t="s">
        <v>284</v>
      </c>
      <c r="B89" s="1411"/>
      <c r="C89" s="1411"/>
      <c r="D89" s="1411"/>
      <c r="E89" s="1411"/>
      <c r="F89" s="1411"/>
      <c r="G89" s="1411"/>
      <c r="H89" s="1411"/>
      <c r="I89" s="1411"/>
      <c r="J89" s="1411"/>
      <c r="K89" s="1411"/>
      <c r="L89" s="109"/>
      <c r="P89" s="862"/>
      <c r="Q89" s="862"/>
      <c r="R89" s="145"/>
      <c r="S89" s="145"/>
      <c r="T89" s="145"/>
      <c r="U89" s="145"/>
      <c r="V89" s="145"/>
      <c r="W89" s="145"/>
    </row>
    <row r="90" spans="1:23" s="147" customFormat="1" ht="15" customHeight="1" x14ac:dyDescent="0.25">
      <c r="A90" s="1412" t="s">
        <v>498</v>
      </c>
      <c r="B90" s="1415" t="s">
        <v>138</v>
      </c>
      <c r="C90" s="1418" t="s">
        <v>139</v>
      </c>
      <c r="D90" s="1418">
        <v>0.86</v>
      </c>
      <c r="E90" s="1418">
        <v>988.5</v>
      </c>
      <c r="F90" s="7">
        <v>0.75</v>
      </c>
      <c r="G90" s="203" t="s">
        <v>140</v>
      </c>
      <c r="H90" s="204" t="s">
        <v>141</v>
      </c>
      <c r="I90" s="204" t="s">
        <v>142</v>
      </c>
      <c r="J90" s="202">
        <f>ROUND(F90*D90/3600,4)</f>
        <v>2.0000000000000001E-4</v>
      </c>
      <c r="K90" s="202">
        <f>ROUND(F90*E90/1000000,4)</f>
        <v>6.9999999999999999E-4</v>
      </c>
      <c r="L90" s="102"/>
      <c r="M90" s="3"/>
      <c r="N90" s="3"/>
      <c r="O90" s="3"/>
      <c r="P90" s="862"/>
      <c r="Q90" s="862"/>
      <c r="R90" s="145"/>
      <c r="S90" s="145"/>
      <c r="T90" s="145"/>
      <c r="U90" s="145"/>
      <c r="V90" s="145"/>
      <c r="W90" s="145"/>
    </row>
    <row r="91" spans="1:23" s="147" customFormat="1" ht="15" customHeight="1" x14ac:dyDescent="0.25">
      <c r="A91" s="1413"/>
      <c r="B91" s="1416"/>
      <c r="C91" s="1419"/>
      <c r="D91" s="1419"/>
      <c r="E91" s="1419"/>
      <c r="F91" s="7">
        <v>1.5</v>
      </c>
      <c r="G91" s="206" t="s">
        <v>143</v>
      </c>
      <c r="H91" s="205" t="s">
        <v>144</v>
      </c>
      <c r="I91" s="204" t="s">
        <v>142</v>
      </c>
      <c r="J91" s="202">
        <f>ROUND((F91*D90/3600)*(1-I91),4)</f>
        <v>4.0000000000000002E-4</v>
      </c>
      <c r="K91" s="202">
        <f>ROUND((F91*E90/1000000)*(1-I91),4)</f>
        <v>1.5E-3</v>
      </c>
      <c r="L91" s="102"/>
      <c r="M91" s="3"/>
      <c r="N91" s="3"/>
      <c r="O91" s="3"/>
      <c r="P91" s="862"/>
      <c r="Q91" s="862"/>
      <c r="R91" s="145"/>
      <c r="S91" s="145"/>
      <c r="T91" s="145"/>
      <c r="U91" s="145"/>
      <c r="V91" s="145"/>
      <c r="W91" s="145"/>
    </row>
    <row r="92" spans="1:23" s="147" customFormat="1" ht="15" customHeight="1" x14ac:dyDescent="0.25">
      <c r="A92" s="1413"/>
      <c r="B92" s="1416"/>
      <c r="C92" s="1419"/>
      <c r="D92" s="1419"/>
      <c r="E92" s="1419"/>
      <c r="F92" s="7">
        <v>0.92</v>
      </c>
      <c r="G92" s="203" t="s">
        <v>145</v>
      </c>
      <c r="H92" s="204" t="s">
        <v>146</v>
      </c>
      <c r="I92" s="204" t="s">
        <v>142</v>
      </c>
      <c r="J92" s="202">
        <f>ROUND((F92*D90/3600)*(1-I92),4)</f>
        <v>2.0000000000000001E-4</v>
      </c>
      <c r="K92" s="202">
        <f>ROUND((F92*E90/1000000)*(1-I92),4)</f>
        <v>8.9999999999999998E-4</v>
      </c>
      <c r="L92" s="102"/>
      <c r="M92" s="3"/>
      <c r="N92" s="3"/>
      <c r="O92" s="3"/>
      <c r="P92" s="862"/>
      <c r="Q92" s="862"/>
      <c r="R92" s="145"/>
      <c r="S92" s="145"/>
      <c r="T92" s="145"/>
      <c r="U92" s="145"/>
      <c r="V92" s="145"/>
      <c r="W92" s="145"/>
    </row>
    <row r="93" spans="1:23" s="147" customFormat="1" ht="15" customHeight="1" x14ac:dyDescent="0.25">
      <c r="A93" s="1413"/>
      <c r="B93" s="1416"/>
      <c r="C93" s="1419"/>
      <c r="D93" s="1419"/>
      <c r="E93" s="1419"/>
      <c r="F93" s="7">
        <v>3.3</v>
      </c>
      <c r="G93" s="203" t="s">
        <v>147</v>
      </c>
      <c r="H93" s="204" t="s">
        <v>148</v>
      </c>
      <c r="I93" s="204" t="s">
        <v>142</v>
      </c>
      <c r="J93" s="202">
        <f>ROUND((F93*D90/3600)*(1-I93),4)</f>
        <v>8.0000000000000004E-4</v>
      </c>
      <c r="K93" s="202">
        <f>ROUND((F93*E90/1000000)*(1-I93),4)</f>
        <v>3.3E-3</v>
      </c>
      <c r="L93" s="102"/>
      <c r="M93" s="3"/>
      <c r="N93" s="3"/>
      <c r="O93" s="3"/>
      <c r="P93" s="862"/>
      <c r="Q93" s="862"/>
      <c r="R93" s="145"/>
      <c r="S93" s="145"/>
      <c r="T93" s="145"/>
      <c r="U93" s="145"/>
      <c r="V93" s="145"/>
      <c r="W93" s="145"/>
    </row>
    <row r="94" spans="1:23" s="147" customFormat="1" ht="15" customHeight="1" x14ac:dyDescent="0.25">
      <c r="A94" s="1413"/>
      <c r="B94" s="1416"/>
      <c r="C94" s="1419"/>
      <c r="D94" s="1419"/>
      <c r="E94" s="1419"/>
      <c r="F94" s="7">
        <v>10.69</v>
      </c>
      <c r="G94" s="203" t="s">
        <v>149</v>
      </c>
      <c r="H94" s="204" t="s">
        <v>150</v>
      </c>
      <c r="I94" s="204" t="s">
        <v>142</v>
      </c>
      <c r="J94" s="202">
        <f>ROUND((F94*D90/3600)*(1-I94),4)</f>
        <v>2.5999999999999999E-3</v>
      </c>
      <c r="K94" s="202">
        <f>ROUND((F94*E90/1000000)*(1-I94),4)</f>
        <v>1.06E-2</v>
      </c>
      <c r="L94" s="102"/>
      <c r="M94" s="3"/>
      <c r="N94" s="3"/>
      <c r="O94" s="3"/>
      <c r="P94" s="862"/>
      <c r="Q94" s="862"/>
      <c r="R94" s="145"/>
      <c r="S94" s="145"/>
      <c r="T94" s="145"/>
      <c r="U94" s="145"/>
      <c r="V94" s="145"/>
      <c r="W94" s="145"/>
    </row>
    <row r="95" spans="1:23" s="147" customFormat="1" ht="15" customHeight="1" x14ac:dyDescent="0.25">
      <c r="A95" s="1413"/>
      <c r="B95" s="1416"/>
      <c r="C95" s="1419"/>
      <c r="D95" s="1419"/>
      <c r="E95" s="1419"/>
      <c r="F95" s="7">
        <v>1.4</v>
      </c>
      <c r="G95" s="207" t="s">
        <v>151</v>
      </c>
      <c r="H95" s="23">
        <v>2908</v>
      </c>
      <c r="I95" s="204" t="s">
        <v>142</v>
      </c>
      <c r="J95" s="202">
        <f>ROUND((F95*D90/3600)*(1-I95),4)</f>
        <v>2.9999999999999997E-4</v>
      </c>
      <c r="K95" s="202">
        <f>ROUND((F95*E90/1000000)*(1-I95),4)</f>
        <v>1.4E-3</v>
      </c>
      <c r="L95" s="102"/>
      <c r="M95" s="3"/>
      <c r="N95" s="3"/>
      <c r="O95" s="3"/>
      <c r="P95" s="862"/>
      <c r="Q95" s="862"/>
      <c r="R95" s="145"/>
      <c r="S95" s="145"/>
      <c r="T95" s="145"/>
      <c r="U95" s="145"/>
      <c r="V95" s="145"/>
      <c r="W95" s="145"/>
    </row>
    <row r="96" spans="1:23" s="147" customFormat="1" ht="15" customHeight="1" x14ac:dyDescent="0.25">
      <c r="A96" s="1414"/>
      <c r="B96" s="1417"/>
      <c r="C96" s="1420"/>
      <c r="D96" s="1420"/>
      <c r="E96" s="1420"/>
      <c r="F96" s="7">
        <v>13.3</v>
      </c>
      <c r="G96" s="203" t="s">
        <v>152</v>
      </c>
      <c r="H96" s="204" t="s">
        <v>153</v>
      </c>
      <c r="I96" s="204" t="s">
        <v>142</v>
      </c>
      <c r="J96" s="202">
        <f>ROUND((F96*D90/3600)*(1-I96),4)</f>
        <v>3.2000000000000002E-3</v>
      </c>
      <c r="K96" s="202">
        <f>ROUND((F96*E90/1000000)*(1-I96),4)</f>
        <v>1.3100000000000001E-2</v>
      </c>
      <c r="L96" s="102">
        <f>SUM(J90:J96)</f>
        <v>7.7000000000000002E-3</v>
      </c>
      <c r="M96" s="102">
        <f>SUM(K90:K96)</f>
        <v>3.15E-2</v>
      </c>
      <c r="N96" s="922"/>
      <c r="O96" s="3"/>
      <c r="P96" s="862"/>
      <c r="Q96" s="862"/>
      <c r="R96" s="145"/>
      <c r="S96" s="145"/>
      <c r="T96" s="145"/>
      <c r="U96" s="145"/>
      <c r="V96" s="145"/>
      <c r="W96" s="145"/>
    </row>
    <row r="97" spans="1:23" ht="15" customHeight="1" x14ac:dyDescent="0.25">
      <c r="A97" s="1411" t="s">
        <v>286</v>
      </c>
      <c r="B97" s="1411"/>
      <c r="C97" s="1411"/>
      <c r="D97" s="1411"/>
      <c r="E97" s="1411"/>
      <c r="F97" s="1411"/>
      <c r="G97" s="1411"/>
      <c r="H97" s="1411"/>
      <c r="I97" s="1411"/>
      <c r="J97" s="1411"/>
      <c r="K97" s="1411"/>
      <c r="L97" s="109"/>
      <c r="P97" s="862"/>
      <c r="Q97" s="862"/>
      <c r="R97" s="145"/>
      <c r="S97" s="145"/>
      <c r="T97" s="145"/>
      <c r="U97" s="145"/>
      <c r="V97" s="145"/>
      <c r="W97" s="145"/>
    </row>
    <row r="98" spans="1:23" s="147" customFormat="1" ht="15" customHeight="1" x14ac:dyDescent="0.25">
      <c r="A98" s="1412" t="s">
        <v>1055</v>
      </c>
      <c r="B98" s="1415" t="s">
        <v>138</v>
      </c>
      <c r="C98" s="1418" t="s">
        <v>139</v>
      </c>
      <c r="D98" s="1418">
        <v>20.47</v>
      </c>
      <c r="E98" s="1418">
        <v>11768.6</v>
      </c>
      <c r="F98" s="7">
        <v>0.75</v>
      </c>
      <c r="G98" s="203" t="s">
        <v>140</v>
      </c>
      <c r="H98" s="204" t="s">
        <v>141</v>
      </c>
      <c r="I98" s="204" t="s">
        <v>142</v>
      </c>
      <c r="J98" s="202">
        <f>ROUND(F98*D98/3600,4)</f>
        <v>4.3E-3</v>
      </c>
      <c r="K98" s="202">
        <f>ROUND(F98*E98/1000000,4)</f>
        <v>8.8000000000000005E-3</v>
      </c>
      <c r="L98" s="102"/>
      <c r="M98" s="3"/>
      <c r="N98" s="3"/>
      <c r="O98" s="3"/>
      <c r="P98" s="862"/>
      <c r="Q98" s="862"/>
      <c r="R98" s="145"/>
      <c r="S98" s="145"/>
      <c r="T98" s="145"/>
      <c r="U98" s="145"/>
      <c r="V98" s="145"/>
      <c r="W98" s="145"/>
    </row>
    <row r="99" spans="1:23" s="147" customFormat="1" ht="15" customHeight="1" x14ac:dyDescent="0.25">
      <c r="A99" s="1413"/>
      <c r="B99" s="1416"/>
      <c r="C99" s="1419"/>
      <c r="D99" s="1419"/>
      <c r="E99" s="1419"/>
      <c r="F99" s="7">
        <v>1.5</v>
      </c>
      <c r="G99" s="206" t="s">
        <v>143</v>
      </c>
      <c r="H99" s="205" t="s">
        <v>144</v>
      </c>
      <c r="I99" s="204" t="s">
        <v>142</v>
      </c>
      <c r="J99" s="202">
        <f>ROUND((F99*D98/3600)*(1-I99),4)</f>
        <v>8.5000000000000006E-3</v>
      </c>
      <c r="K99" s="202">
        <f>ROUND((F99*E98/1000000)*(1-I99),4)</f>
        <v>1.77E-2</v>
      </c>
      <c r="L99" s="102"/>
      <c r="M99" s="3"/>
      <c r="N99" s="3"/>
      <c r="O99" s="3"/>
      <c r="P99" s="862"/>
      <c r="Q99" s="862"/>
      <c r="R99" s="145"/>
      <c r="S99" s="145"/>
      <c r="T99" s="145"/>
      <c r="U99" s="145"/>
      <c r="V99" s="145"/>
      <c r="W99" s="145"/>
    </row>
    <row r="100" spans="1:23" s="147" customFormat="1" ht="15" customHeight="1" x14ac:dyDescent="0.25">
      <c r="A100" s="1413"/>
      <c r="B100" s="1416"/>
      <c r="C100" s="1419"/>
      <c r="D100" s="1419"/>
      <c r="E100" s="1419"/>
      <c r="F100" s="7">
        <v>0.92</v>
      </c>
      <c r="G100" s="203" t="s">
        <v>145</v>
      </c>
      <c r="H100" s="204" t="s">
        <v>146</v>
      </c>
      <c r="I100" s="204" t="s">
        <v>142</v>
      </c>
      <c r="J100" s="202">
        <f>ROUND((F100*D98/3600)*(1-I100),4)</f>
        <v>5.1999999999999998E-3</v>
      </c>
      <c r="K100" s="202">
        <f>ROUND((F100*E98/1000000)*(1-I100),4)</f>
        <v>1.0800000000000001E-2</v>
      </c>
      <c r="L100" s="102"/>
      <c r="M100" s="3"/>
      <c r="N100" s="3"/>
      <c r="O100" s="3"/>
      <c r="P100" s="862"/>
      <c r="Q100" s="862"/>
      <c r="R100" s="145"/>
      <c r="S100" s="145"/>
      <c r="T100" s="145"/>
      <c r="U100" s="145"/>
      <c r="V100" s="145"/>
      <c r="W100" s="145"/>
    </row>
    <row r="101" spans="1:23" s="147" customFormat="1" ht="15" customHeight="1" x14ac:dyDescent="0.25">
      <c r="A101" s="1413"/>
      <c r="B101" s="1416"/>
      <c r="C101" s="1419"/>
      <c r="D101" s="1419"/>
      <c r="E101" s="1419"/>
      <c r="F101" s="7">
        <v>3.3</v>
      </c>
      <c r="G101" s="203" t="s">
        <v>147</v>
      </c>
      <c r="H101" s="204" t="s">
        <v>148</v>
      </c>
      <c r="I101" s="204" t="s">
        <v>142</v>
      </c>
      <c r="J101" s="202">
        <f>ROUND((F101*D98/3600)*(1-I101),4)</f>
        <v>1.8800000000000001E-2</v>
      </c>
      <c r="K101" s="202">
        <f>ROUND((F101*E98/1000000)*(1-I101),4)</f>
        <v>3.8800000000000001E-2</v>
      </c>
      <c r="L101" s="102"/>
      <c r="M101" s="3"/>
      <c r="N101" s="3"/>
      <c r="O101" s="3"/>
      <c r="P101" s="862"/>
      <c r="Q101" s="862"/>
      <c r="R101" s="145"/>
      <c r="S101" s="145"/>
      <c r="T101" s="145"/>
      <c r="U101" s="145"/>
      <c r="V101" s="145"/>
      <c r="W101" s="145"/>
    </row>
    <row r="102" spans="1:23" s="147" customFormat="1" ht="15" customHeight="1" x14ac:dyDescent="0.25">
      <c r="A102" s="1413"/>
      <c r="B102" s="1416"/>
      <c r="C102" s="1419"/>
      <c r="D102" s="1419"/>
      <c r="E102" s="1419"/>
      <c r="F102" s="7">
        <v>10.69</v>
      </c>
      <c r="G102" s="203" t="s">
        <v>149</v>
      </c>
      <c r="H102" s="204" t="s">
        <v>150</v>
      </c>
      <c r="I102" s="204" t="s">
        <v>142</v>
      </c>
      <c r="J102" s="202">
        <f>ROUND((F102*D98/3600)*(1-I102),4)</f>
        <v>6.08E-2</v>
      </c>
      <c r="K102" s="202">
        <f>ROUND((F102*E98/1000000)*(1-I102),4)</f>
        <v>0.1258</v>
      </c>
      <c r="L102" s="102"/>
      <c r="M102" s="3"/>
      <c r="N102" s="3"/>
      <c r="O102" s="3"/>
      <c r="P102" s="862"/>
      <c r="Q102" s="862"/>
      <c r="R102" s="145"/>
      <c r="S102" s="145"/>
      <c r="T102" s="145"/>
      <c r="U102" s="145"/>
      <c r="V102" s="145"/>
      <c r="W102" s="145"/>
    </row>
    <row r="103" spans="1:23" s="147" customFormat="1" ht="15" customHeight="1" x14ac:dyDescent="0.25">
      <c r="A103" s="1413"/>
      <c r="B103" s="1416"/>
      <c r="C103" s="1419"/>
      <c r="D103" s="1419"/>
      <c r="E103" s="1419"/>
      <c r="F103" s="7">
        <v>1.4</v>
      </c>
      <c r="G103" s="207" t="s">
        <v>151</v>
      </c>
      <c r="H103" s="23">
        <v>2908</v>
      </c>
      <c r="I103" s="204" t="s">
        <v>142</v>
      </c>
      <c r="J103" s="202">
        <f>ROUND((F103*D98/3600)*(1-I103),4)</f>
        <v>8.0000000000000002E-3</v>
      </c>
      <c r="K103" s="202">
        <f>ROUND((F103*E98/1000000)*(1-I103),4)</f>
        <v>1.6500000000000001E-2</v>
      </c>
      <c r="L103" s="102"/>
      <c r="M103" s="3"/>
      <c r="N103" s="3"/>
      <c r="O103" s="3"/>
      <c r="P103" s="862"/>
      <c r="Q103" s="862"/>
      <c r="R103" s="145"/>
      <c r="S103" s="145"/>
      <c r="T103" s="145"/>
      <c r="U103" s="145"/>
      <c r="V103" s="145"/>
      <c r="W103" s="145"/>
    </row>
    <row r="104" spans="1:23" s="147" customFormat="1" ht="15" customHeight="1" x14ac:dyDescent="0.25">
      <c r="A104" s="1414"/>
      <c r="B104" s="1417"/>
      <c r="C104" s="1420"/>
      <c r="D104" s="1420"/>
      <c r="E104" s="1420"/>
      <c r="F104" s="7">
        <v>13.3</v>
      </c>
      <c r="G104" s="203" t="s">
        <v>152</v>
      </c>
      <c r="H104" s="204" t="s">
        <v>153</v>
      </c>
      <c r="I104" s="204" t="s">
        <v>142</v>
      </c>
      <c r="J104" s="202">
        <f>ROUND((F104*D98/3600)*(1-I104),4)</f>
        <v>7.5600000000000001E-2</v>
      </c>
      <c r="K104" s="202">
        <f>ROUND((F104*E98/1000000)*(1-I104),4)</f>
        <v>0.1565</v>
      </c>
      <c r="L104" s="923">
        <f>SUM(J98:J104)</f>
        <v>0.1812</v>
      </c>
      <c r="M104" s="102">
        <f>SUM(K98:K104)</f>
        <v>0.37490000000000001</v>
      </c>
      <c r="N104" s="922"/>
      <c r="O104" s="3"/>
      <c r="P104" s="862"/>
      <c r="Q104" s="862"/>
      <c r="R104" s="145"/>
      <c r="S104" s="145"/>
      <c r="T104" s="145"/>
      <c r="U104" s="145"/>
      <c r="V104" s="145"/>
      <c r="W104" s="145"/>
    </row>
    <row r="105" spans="1:23" ht="15" customHeight="1" x14ac:dyDescent="0.25">
      <c r="A105" s="1426" t="s">
        <v>11</v>
      </c>
      <c r="B105" s="1426"/>
      <c r="C105" s="1426"/>
      <c r="D105" s="1426"/>
      <c r="E105" s="1426"/>
      <c r="F105" s="1426"/>
      <c r="G105" s="1426"/>
      <c r="H105" s="1426"/>
      <c r="I105" s="1426"/>
      <c r="J105" s="1426"/>
      <c r="K105" s="1426"/>
      <c r="L105" s="906">
        <f>SUM(L34:L104)</f>
        <v>0.94480000000000008</v>
      </c>
      <c r="M105" s="903">
        <f>SUM(M34:M104)</f>
        <v>2.9550000000000001</v>
      </c>
      <c r="N105" s="904">
        <v>2026</v>
      </c>
    </row>
    <row r="106" spans="1:23" ht="15" customHeight="1" x14ac:dyDescent="0.25">
      <c r="A106" s="1411" t="s">
        <v>8</v>
      </c>
      <c r="B106" s="1411"/>
      <c r="C106" s="1411"/>
      <c r="D106" s="1411"/>
      <c r="E106" s="1411"/>
      <c r="F106" s="1411"/>
      <c r="G106" s="1411"/>
      <c r="H106" s="1411"/>
      <c r="I106" s="1411"/>
      <c r="J106" s="1411"/>
      <c r="K106" s="1411"/>
      <c r="L106" s="108"/>
      <c r="M106" s="4"/>
      <c r="N106" s="4"/>
      <c r="O106" s="4"/>
    </row>
    <row r="107" spans="1:23" ht="15" customHeight="1" x14ac:dyDescent="0.25">
      <c r="A107" s="1412" t="s">
        <v>366</v>
      </c>
      <c r="B107" s="1415" t="s">
        <v>138</v>
      </c>
      <c r="C107" s="1418" t="s">
        <v>139</v>
      </c>
      <c r="D107" s="1418">
        <v>50.8</v>
      </c>
      <c r="E107" s="1418">
        <v>43627.1</v>
      </c>
      <c r="F107" s="7">
        <v>0.75</v>
      </c>
      <c r="G107" s="203" t="s">
        <v>140</v>
      </c>
      <c r="H107" s="204" t="s">
        <v>141</v>
      </c>
      <c r="I107" s="204" t="s">
        <v>142</v>
      </c>
      <c r="J107" s="202">
        <f>ROUND(F107*D107/3600,4)</f>
        <v>1.06E-2</v>
      </c>
      <c r="K107" s="202">
        <f>ROUND(F107*E107/1000000,4)</f>
        <v>3.27E-2</v>
      </c>
      <c r="L107" s="25"/>
      <c r="M107" s="5"/>
      <c r="N107" s="5"/>
      <c r="O107" s="5"/>
      <c r="P107" s="5"/>
      <c r="Q107" s="5"/>
    </row>
    <row r="108" spans="1:23" ht="15" customHeight="1" x14ac:dyDescent="0.25">
      <c r="A108" s="1413"/>
      <c r="B108" s="1416"/>
      <c r="C108" s="1419"/>
      <c r="D108" s="1419"/>
      <c r="E108" s="1419"/>
      <c r="F108" s="7">
        <v>1.5</v>
      </c>
      <c r="G108" s="206" t="s">
        <v>143</v>
      </c>
      <c r="H108" s="205" t="s">
        <v>144</v>
      </c>
      <c r="I108" s="204" t="s">
        <v>142</v>
      </c>
      <c r="J108" s="202">
        <f>ROUND((F108*D107/3600)*(1-I108),4)</f>
        <v>2.12E-2</v>
      </c>
      <c r="K108" s="202">
        <f>ROUND((F108*E107/1000000)*(1-I108),4)</f>
        <v>6.54E-2</v>
      </c>
      <c r="L108" s="25"/>
      <c r="M108" s="5"/>
      <c r="N108" s="5"/>
      <c r="O108" s="5"/>
      <c r="P108" s="5"/>
      <c r="Q108" s="5"/>
    </row>
    <row r="109" spans="1:23" ht="15" customHeight="1" x14ac:dyDescent="0.25">
      <c r="A109" s="1413"/>
      <c r="B109" s="1416"/>
      <c r="C109" s="1419"/>
      <c r="D109" s="1419"/>
      <c r="E109" s="1419"/>
      <c r="F109" s="7">
        <v>0.92</v>
      </c>
      <c r="G109" s="203" t="s">
        <v>145</v>
      </c>
      <c r="H109" s="204" t="s">
        <v>146</v>
      </c>
      <c r="I109" s="204" t="s">
        <v>142</v>
      </c>
      <c r="J109" s="202">
        <f>ROUND((F109*D107/3600)*(1-I109),4)</f>
        <v>1.2999999999999999E-2</v>
      </c>
      <c r="K109" s="202">
        <f>ROUND((F109*E107/1000000)*(1-I109),4)</f>
        <v>4.0099999999999997E-2</v>
      </c>
      <c r="L109" s="25"/>
      <c r="M109" s="5"/>
      <c r="N109" s="5"/>
      <c r="O109" s="5"/>
      <c r="P109" s="5"/>
      <c r="Q109" s="5"/>
    </row>
    <row r="110" spans="1:23" ht="15" customHeight="1" x14ac:dyDescent="0.25">
      <c r="A110" s="1413"/>
      <c r="B110" s="1416"/>
      <c r="C110" s="1419"/>
      <c r="D110" s="1419"/>
      <c r="E110" s="1419"/>
      <c r="F110" s="7">
        <v>3.3</v>
      </c>
      <c r="G110" s="203" t="s">
        <v>147</v>
      </c>
      <c r="H110" s="204" t="s">
        <v>148</v>
      </c>
      <c r="I110" s="204" t="s">
        <v>142</v>
      </c>
      <c r="J110" s="202">
        <f>ROUND((F110*D107/3600)*(1-I110),4)</f>
        <v>4.6600000000000003E-2</v>
      </c>
      <c r="K110" s="202">
        <f>ROUND((F110*E107/1000000)*(1-I110),4)</f>
        <v>0.14399999999999999</v>
      </c>
      <c r="L110" s="25"/>
      <c r="M110" s="5"/>
      <c r="N110" s="5"/>
      <c r="O110" s="5"/>
      <c r="P110" s="5"/>
      <c r="Q110" s="5"/>
    </row>
    <row r="111" spans="1:23" ht="15" customHeight="1" x14ac:dyDescent="0.25">
      <c r="A111" s="1413"/>
      <c r="B111" s="1416"/>
      <c r="C111" s="1419"/>
      <c r="D111" s="1419"/>
      <c r="E111" s="1419"/>
      <c r="F111" s="7">
        <v>10.69</v>
      </c>
      <c r="G111" s="203" t="s">
        <v>149</v>
      </c>
      <c r="H111" s="204" t="s">
        <v>150</v>
      </c>
      <c r="I111" s="204" t="s">
        <v>142</v>
      </c>
      <c r="J111" s="202">
        <f>ROUND((F111*D107/3600)*(1-I111),4)</f>
        <v>0.15079999999999999</v>
      </c>
      <c r="K111" s="202">
        <f>ROUND((F111*E107/1000000)*(1-I111),4)</f>
        <v>0.46639999999999998</v>
      </c>
      <c r="L111" s="25"/>
      <c r="M111" s="5"/>
      <c r="N111" s="5"/>
      <c r="O111" s="5"/>
      <c r="P111" s="5"/>
      <c r="Q111" s="5"/>
    </row>
    <row r="112" spans="1:23" ht="15" customHeight="1" x14ac:dyDescent="0.25">
      <c r="A112" s="1413"/>
      <c r="B112" s="1416"/>
      <c r="C112" s="1419"/>
      <c r="D112" s="1419"/>
      <c r="E112" s="1419"/>
      <c r="F112" s="7">
        <v>1.4</v>
      </c>
      <c r="G112" s="207" t="s">
        <v>151</v>
      </c>
      <c r="H112" s="23">
        <v>2908</v>
      </c>
      <c r="I112" s="204" t="s">
        <v>142</v>
      </c>
      <c r="J112" s="202">
        <f>ROUND((F112*D107/3600)*(1-I112),4)</f>
        <v>1.9800000000000002E-2</v>
      </c>
      <c r="K112" s="202">
        <f>ROUND((F112*E107/1000000)*(1-I112),4)</f>
        <v>6.1100000000000002E-2</v>
      </c>
      <c r="L112" s="25"/>
      <c r="M112" s="5"/>
      <c r="N112" s="5"/>
      <c r="O112" s="5"/>
      <c r="P112" s="5"/>
      <c r="Q112" s="5"/>
    </row>
    <row r="113" spans="1:17" ht="15" customHeight="1" x14ac:dyDescent="0.25">
      <c r="A113" s="1414"/>
      <c r="B113" s="1417"/>
      <c r="C113" s="1420"/>
      <c r="D113" s="1420"/>
      <c r="E113" s="1420"/>
      <c r="F113" s="7">
        <v>13.3</v>
      </c>
      <c r="G113" s="203" t="s">
        <v>152</v>
      </c>
      <c r="H113" s="204" t="s">
        <v>153</v>
      </c>
      <c r="I113" s="204" t="s">
        <v>142</v>
      </c>
      <c r="J113" s="202">
        <f>ROUND((F113*D107/3600)*(1-I113),4)</f>
        <v>0.18770000000000001</v>
      </c>
      <c r="K113" s="202">
        <f>ROUND((F113*E107/1000000)*(1-I113),4)</f>
        <v>0.58020000000000005</v>
      </c>
      <c r="L113" s="25">
        <f>SUM(J107:J113)</f>
        <v>0.44969999999999999</v>
      </c>
      <c r="M113" s="25">
        <f>SUM(K107:K113)</f>
        <v>1.3898999999999999</v>
      </c>
      <c r="N113" s="924"/>
      <c r="O113" s="5"/>
      <c r="P113" s="5"/>
      <c r="Q113" s="5"/>
    </row>
    <row r="114" spans="1:17" ht="15" customHeight="1" x14ac:dyDescent="0.25">
      <c r="A114" s="1411" t="s">
        <v>204</v>
      </c>
      <c r="B114" s="1411"/>
      <c r="C114" s="1411"/>
      <c r="D114" s="1411"/>
      <c r="E114" s="1411"/>
      <c r="F114" s="1411"/>
      <c r="G114" s="1411"/>
      <c r="H114" s="1411"/>
      <c r="I114" s="1411"/>
      <c r="J114" s="1411"/>
      <c r="K114" s="1411"/>
      <c r="L114" s="108"/>
      <c r="M114" s="4"/>
      <c r="N114" s="4"/>
      <c r="O114" s="4"/>
      <c r="P114" s="5"/>
      <c r="Q114" s="5"/>
    </row>
    <row r="115" spans="1:17" ht="15" customHeight="1" x14ac:dyDescent="0.25">
      <c r="A115" s="1412" t="s">
        <v>386</v>
      </c>
      <c r="B115" s="1415" t="s">
        <v>138</v>
      </c>
      <c r="C115" s="1418" t="s">
        <v>139</v>
      </c>
      <c r="D115" s="1418">
        <v>0.44</v>
      </c>
      <c r="E115" s="1418">
        <v>126.1</v>
      </c>
      <c r="F115" s="7">
        <v>0.75</v>
      </c>
      <c r="G115" s="203" t="s">
        <v>140</v>
      </c>
      <c r="H115" s="204" t="s">
        <v>141</v>
      </c>
      <c r="I115" s="204" t="s">
        <v>142</v>
      </c>
      <c r="J115" s="202">
        <f>ROUND(F115*D115/3600,4)</f>
        <v>1E-4</v>
      </c>
      <c r="K115" s="202">
        <f>ROUND(F115*E115/1000000,4)</f>
        <v>1E-4</v>
      </c>
      <c r="L115" s="25"/>
      <c r="M115" s="5"/>
      <c r="N115" s="5"/>
      <c r="O115" s="5"/>
      <c r="P115" s="5"/>
      <c r="Q115" s="5"/>
    </row>
    <row r="116" spans="1:17" ht="15" customHeight="1" x14ac:dyDescent="0.25">
      <c r="A116" s="1413"/>
      <c r="B116" s="1416"/>
      <c r="C116" s="1419"/>
      <c r="D116" s="1419"/>
      <c r="E116" s="1419"/>
      <c r="F116" s="7">
        <v>1.5</v>
      </c>
      <c r="G116" s="206" t="s">
        <v>143</v>
      </c>
      <c r="H116" s="205" t="s">
        <v>144</v>
      </c>
      <c r="I116" s="204" t="s">
        <v>142</v>
      </c>
      <c r="J116" s="202">
        <f>ROUND((F116*D115/3600)*(1-I116),4)</f>
        <v>2.0000000000000001E-4</v>
      </c>
      <c r="K116" s="202">
        <f>ROUND((F116*E115/1000000)*(1-I116),4)</f>
        <v>2.0000000000000001E-4</v>
      </c>
      <c r="L116" s="25"/>
      <c r="M116" s="5"/>
      <c r="N116" s="5"/>
      <c r="O116" s="5"/>
      <c r="P116" s="5"/>
      <c r="Q116" s="5"/>
    </row>
    <row r="117" spans="1:17" ht="15" customHeight="1" x14ac:dyDescent="0.25">
      <c r="A117" s="1413"/>
      <c r="B117" s="1416"/>
      <c r="C117" s="1419"/>
      <c r="D117" s="1419"/>
      <c r="E117" s="1419"/>
      <c r="F117" s="7">
        <v>0.92</v>
      </c>
      <c r="G117" s="203" t="s">
        <v>145</v>
      </c>
      <c r="H117" s="204" t="s">
        <v>146</v>
      </c>
      <c r="I117" s="204" t="s">
        <v>142</v>
      </c>
      <c r="J117" s="202">
        <f>ROUND((F117*D115/3600)*(1-I117),4)</f>
        <v>1E-4</v>
      </c>
      <c r="K117" s="202">
        <f>ROUND((F117*E115/1000000)*(1-I117),4)</f>
        <v>1E-4</v>
      </c>
      <c r="L117" s="25"/>
      <c r="M117" s="5"/>
      <c r="N117" s="5"/>
      <c r="O117" s="5"/>
      <c r="P117" s="5"/>
      <c r="Q117" s="5"/>
    </row>
    <row r="118" spans="1:17" ht="15" customHeight="1" x14ac:dyDescent="0.25">
      <c r="A118" s="1413"/>
      <c r="B118" s="1416"/>
      <c r="C118" s="1419"/>
      <c r="D118" s="1419"/>
      <c r="E118" s="1419"/>
      <c r="F118" s="7">
        <v>3.3</v>
      </c>
      <c r="G118" s="203" t="s">
        <v>147</v>
      </c>
      <c r="H118" s="204" t="s">
        <v>148</v>
      </c>
      <c r="I118" s="204" t="s">
        <v>142</v>
      </c>
      <c r="J118" s="202">
        <f>ROUND((F118*D115/3600)*(1-I118),4)</f>
        <v>4.0000000000000002E-4</v>
      </c>
      <c r="K118" s="202">
        <f>ROUND((F118*E115/1000000)*(1-I118),4)</f>
        <v>4.0000000000000002E-4</v>
      </c>
      <c r="L118" s="25"/>
      <c r="M118" s="5"/>
      <c r="N118" s="5"/>
      <c r="O118" s="5"/>
      <c r="P118" s="5"/>
      <c r="Q118" s="5"/>
    </row>
    <row r="119" spans="1:17" ht="15" customHeight="1" x14ac:dyDescent="0.25">
      <c r="A119" s="1413"/>
      <c r="B119" s="1416"/>
      <c r="C119" s="1419"/>
      <c r="D119" s="1419"/>
      <c r="E119" s="1419"/>
      <c r="F119" s="7">
        <v>10.69</v>
      </c>
      <c r="G119" s="203" t="s">
        <v>149</v>
      </c>
      <c r="H119" s="204" t="s">
        <v>150</v>
      </c>
      <c r="I119" s="204" t="s">
        <v>142</v>
      </c>
      <c r="J119" s="202">
        <f>ROUND((F119*D115/3600)*(1-I119),4)</f>
        <v>1.2999999999999999E-3</v>
      </c>
      <c r="K119" s="202">
        <f>ROUND((F119*E115/1000000)*(1-I119),4)</f>
        <v>1.2999999999999999E-3</v>
      </c>
      <c r="L119" s="25"/>
      <c r="M119" s="5"/>
      <c r="N119" s="5"/>
      <c r="O119" s="5"/>
      <c r="P119" s="5"/>
      <c r="Q119" s="5"/>
    </row>
    <row r="120" spans="1:17" ht="15" customHeight="1" x14ac:dyDescent="0.25">
      <c r="A120" s="1413"/>
      <c r="B120" s="1416"/>
      <c r="C120" s="1419"/>
      <c r="D120" s="1419"/>
      <c r="E120" s="1419"/>
      <c r="F120" s="7">
        <v>1.4</v>
      </c>
      <c r="G120" s="207" t="s">
        <v>151</v>
      </c>
      <c r="H120" s="23">
        <v>2908</v>
      </c>
      <c r="I120" s="204" t="s">
        <v>142</v>
      </c>
      <c r="J120" s="202">
        <f>ROUND((F120*D115/3600)*(1-I120),4)</f>
        <v>2.0000000000000001E-4</v>
      </c>
      <c r="K120" s="202">
        <f>ROUND((F120*E115/1000000)*(1-I120),4)</f>
        <v>2.0000000000000001E-4</v>
      </c>
      <c r="L120" s="25"/>
      <c r="M120" s="5"/>
      <c r="N120" s="5"/>
      <c r="O120" s="5"/>
      <c r="P120" s="5"/>
      <c r="Q120" s="5"/>
    </row>
    <row r="121" spans="1:17" ht="15" customHeight="1" x14ac:dyDescent="0.25">
      <c r="A121" s="1414"/>
      <c r="B121" s="1417"/>
      <c r="C121" s="1420"/>
      <c r="D121" s="1420"/>
      <c r="E121" s="1420"/>
      <c r="F121" s="7">
        <v>13.3</v>
      </c>
      <c r="G121" s="203" t="s">
        <v>152</v>
      </c>
      <c r="H121" s="204" t="s">
        <v>153</v>
      </c>
      <c r="I121" s="204" t="s">
        <v>142</v>
      </c>
      <c r="J121" s="202">
        <f>ROUND((F121*D115/3600)*(1-I121),4)</f>
        <v>1.6000000000000001E-3</v>
      </c>
      <c r="K121" s="202">
        <f>ROUND((F121*E115/1000000)*(1-I121),4)</f>
        <v>1.6999999999999999E-3</v>
      </c>
      <c r="L121" s="25">
        <f>SUM(J115:J121)</f>
        <v>3.8999999999999998E-3</v>
      </c>
      <c r="M121" s="25">
        <f>SUM(K115:K121)</f>
        <v>4.0000000000000001E-3</v>
      </c>
      <c r="N121" s="924"/>
      <c r="O121" s="5"/>
      <c r="P121" s="5"/>
      <c r="Q121" s="5"/>
    </row>
    <row r="122" spans="1:17" ht="15" customHeight="1" x14ac:dyDescent="0.25">
      <c r="A122" s="1411" t="s">
        <v>210</v>
      </c>
      <c r="B122" s="1411"/>
      <c r="C122" s="1411"/>
      <c r="D122" s="1411"/>
      <c r="E122" s="1411"/>
      <c r="F122" s="1411"/>
      <c r="G122" s="1411"/>
      <c r="H122" s="1411"/>
      <c r="I122" s="1411"/>
      <c r="J122" s="1411"/>
      <c r="K122" s="1411"/>
      <c r="L122" s="108"/>
      <c r="M122" s="4"/>
      <c r="N122" s="4"/>
      <c r="O122" s="4"/>
      <c r="P122" s="5"/>
      <c r="Q122" s="5"/>
    </row>
    <row r="123" spans="1:17" ht="15" customHeight="1" x14ac:dyDescent="0.25">
      <c r="A123" s="1412" t="s">
        <v>392</v>
      </c>
      <c r="B123" s="1415" t="s">
        <v>138</v>
      </c>
      <c r="C123" s="1418" t="s">
        <v>139</v>
      </c>
      <c r="D123" s="1418">
        <v>5.0999999999999996</v>
      </c>
      <c r="E123" s="1418">
        <v>2927.3</v>
      </c>
      <c r="F123" s="7">
        <v>0.75</v>
      </c>
      <c r="G123" s="203" t="s">
        <v>140</v>
      </c>
      <c r="H123" s="204" t="s">
        <v>141</v>
      </c>
      <c r="I123" s="204" t="s">
        <v>142</v>
      </c>
      <c r="J123" s="202">
        <f>ROUND(F123*D123/3600,4)</f>
        <v>1.1000000000000001E-3</v>
      </c>
      <c r="K123" s="202">
        <f>ROUND(F123*E123/1000000,4)</f>
        <v>2.2000000000000001E-3</v>
      </c>
      <c r="L123" s="25"/>
      <c r="M123" s="5"/>
      <c r="N123" s="5"/>
      <c r="O123" s="5"/>
      <c r="P123" s="5"/>
      <c r="Q123" s="5"/>
    </row>
    <row r="124" spans="1:17" ht="15" customHeight="1" x14ac:dyDescent="0.25">
      <c r="A124" s="1413"/>
      <c r="B124" s="1416"/>
      <c r="C124" s="1419"/>
      <c r="D124" s="1419"/>
      <c r="E124" s="1419"/>
      <c r="F124" s="7">
        <v>1.5</v>
      </c>
      <c r="G124" s="206" t="s">
        <v>143</v>
      </c>
      <c r="H124" s="205" t="s">
        <v>144</v>
      </c>
      <c r="I124" s="204" t="s">
        <v>142</v>
      </c>
      <c r="J124" s="202">
        <f>ROUND((F124*D123/3600)*(1-I124),4)</f>
        <v>2.0999999999999999E-3</v>
      </c>
      <c r="K124" s="202">
        <f>ROUND((F124*E123/1000000)*(1-I124),4)</f>
        <v>4.4000000000000003E-3</v>
      </c>
      <c r="L124" s="25"/>
      <c r="M124" s="5"/>
      <c r="N124" s="5"/>
      <c r="O124" s="5"/>
      <c r="P124" s="5"/>
      <c r="Q124" s="5"/>
    </row>
    <row r="125" spans="1:17" ht="15" customHeight="1" x14ac:dyDescent="0.25">
      <c r="A125" s="1413"/>
      <c r="B125" s="1416"/>
      <c r="C125" s="1419"/>
      <c r="D125" s="1419"/>
      <c r="E125" s="1419"/>
      <c r="F125" s="7">
        <v>0.92</v>
      </c>
      <c r="G125" s="203" t="s">
        <v>145</v>
      </c>
      <c r="H125" s="204" t="s">
        <v>146</v>
      </c>
      <c r="I125" s="204" t="s">
        <v>142</v>
      </c>
      <c r="J125" s="202">
        <f>ROUND((F125*D123/3600)*(1-I125),4)</f>
        <v>1.2999999999999999E-3</v>
      </c>
      <c r="K125" s="202">
        <f>ROUND((F125*E123/1000000)*(1-I125),4)</f>
        <v>2.7000000000000001E-3</v>
      </c>
      <c r="L125" s="25"/>
      <c r="M125" s="5"/>
      <c r="N125" s="5"/>
      <c r="O125" s="5"/>
      <c r="P125" s="5"/>
      <c r="Q125" s="5"/>
    </row>
    <row r="126" spans="1:17" ht="15" customHeight="1" x14ac:dyDescent="0.25">
      <c r="A126" s="1413"/>
      <c r="B126" s="1416"/>
      <c r="C126" s="1419"/>
      <c r="D126" s="1419"/>
      <c r="E126" s="1419"/>
      <c r="F126" s="7">
        <v>3.3</v>
      </c>
      <c r="G126" s="203" t="s">
        <v>147</v>
      </c>
      <c r="H126" s="204" t="s">
        <v>148</v>
      </c>
      <c r="I126" s="204" t="s">
        <v>142</v>
      </c>
      <c r="J126" s="202">
        <f>ROUND((F126*D123/3600)*(1-I126),4)</f>
        <v>4.7000000000000002E-3</v>
      </c>
      <c r="K126" s="202">
        <f>ROUND((F126*E123/1000000)*(1-I126),4)</f>
        <v>9.7000000000000003E-3</v>
      </c>
      <c r="L126" s="25"/>
      <c r="M126" s="5"/>
      <c r="N126" s="5"/>
      <c r="O126" s="5"/>
      <c r="P126" s="5"/>
      <c r="Q126" s="5"/>
    </row>
    <row r="127" spans="1:17" ht="15" customHeight="1" x14ac:dyDescent="0.25">
      <c r="A127" s="1413"/>
      <c r="B127" s="1416"/>
      <c r="C127" s="1419"/>
      <c r="D127" s="1419"/>
      <c r="E127" s="1419"/>
      <c r="F127" s="7">
        <v>10.69</v>
      </c>
      <c r="G127" s="203" t="s">
        <v>149</v>
      </c>
      <c r="H127" s="204" t="s">
        <v>150</v>
      </c>
      <c r="I127" s="204" t="s">
        <v>142</v>
      </c>
      <c r="J127" s="202">
        <f>ROUND((F127*D123/3600)*(1-I127),4)</f>
        <v>1.5100000000000001E-2</v>
      </c>
      <c r="K127" s="202">
        <f>ROUND((F127*E123/1000000)*(1-I127),4)</f>
        <v>3.1300000000000001E-2</v>
      </c>
      <c r="L127" s="25"/>
      <c r="M127" s="5"/>
      <c r="N127" s="5"/>
      <c r="O127" s="5"/>
      <c r="P127" s="5"/>
      <c r="Q127" s="5"/>
    </row>
    <row r="128" spans="1:17" ht="15" customHeight="1" x14ac:dyDescent="0.25">
      <c r="A128" s="1413"/>
      <c r="B128" s="1416"/>
      <c r="C128" s="1419"/>
      <c r="D128" s="1419"/>
      <c r="E128" s="1419"/>
      <c r="F128" s="7">
        <v>1.4</v>
      </c>
      <c r="G128" s="207" t="s">
        <v>151</v>
      </c>
      <c r="H128" s="23">
        <v>2908</v>
      </c>
      <c r="I128" s="204" t="s">
        <v>142</v>
      </c>
      <c r="J128" s="202">
        <f>ROUND((F128*D123/3600)*(1-I128),4)</f>
        <v>2E-3</v>
      </c>
      <c r="K128" s="202">
        <f>ROUND((F128*E123/1000000)*(1-I128),4)</f>
        <v>4.1000000000000003E-3</v>
      </c>
      <c r="L128" s="25"/>
      <c r="M128" s="5"/>
      <c r="N128" s="5"/>
      <c r="O128" s="5"/>
      <c r="P128" s="5"/>
      <c r="Q128" s="5"/>
    </row>
    <row r="129" spans="1:17" ht="15" customHeight="1" x14ac:dyDescent="0.25">
      <c r="A129" s="1414"/>
      <c r="B129" s="1417"/>
      <c r="C129" s="1420"/>
      <c r="D129" s="1420"/>
      <c r="E129" s="1420"/>
      <c r="F129" s="7">
        <v>13.3</v>
      </c>
      <c r="G129" s="203" t="s">
        <v>152</v>
      </c>
      <c r="H129" s="204" t="s">
        <v>153</v>
      </c>
      <c r="I129" s="204" t="s">
        <v>142</v>
      </c>
      <c r="J129" s="202">
        <f>ROUND((F129*D123/3600)*(1-I129),4)</f>
        <v>1.8800000000000001E-2</v>
      </c>
      <c r="K129" s="202">
        <f>ROUND((F129*E123/1000000)*(1-I129),4)</f>
        <v>3.8899999999999997E-2</v>
      </c>
      <c r="L129" s="25">
        <f>SUM(J123:J129)</f>
        <v>4.5100000000000001E-2</v>
      </c>
      <c r="M129" s="25">
        <f>SUM(K123:K129)</f>
        <v>9.3299999999999994E-2</v>
      </c>
      <c r="N129" s="924"/>
      <c r="O129" s="5"/>
      <c r="P129" s="5"/>
      <c r="Q129" s="5"/>
    </row>
    <row r="130" spans="1:17" ht="15" customHeight="1" x14ac:dyDescent="0.25">
      <c r="A130" s="1411" t="s">
        <v>213</v>
      </c>
      <c r="B130" s="1411"/>
      <c r="C130" s="1411"/>
      <c r="D130" s="1411"/>
      <c r="E130" s="1411"/>
      <c r="F130" s="1411"/>
      <c r="G130" s="1411"/>
      <c r="H130" s="1411"/>
      <c r="I130" s="1411"/>
      <c r="J130" s="1411"/>
      <c r="K130" s="1411"/>
      <c r="L130" s="108"/>
      <c r="M130" s="4"/>
      <c r="N130" s="4"/>
      <c r="O130" s="4"/>
      <c r="P130" s="5"/>
      <c r="Q130" s="5"/>
    </row>
    <row r="131" spans="1:17" ht="15" customHeight="1" x14ac:dyDescent="0.25">
      <c r="A131" s="1412" t="s">
        <v>399</v>
      </c>
      <c r="B131" s="1415" t="s">
        <v>138</v>
      </c>
      <c r="C131" s="1418" t="s">
        <v>139</v>
      </c>
      <c r="D131" s="1418">
        <v>10.1</v>
      </c>
      <c r="E131" s="1418">
        <v>8681.5</v>
      </c>
      <c r="F131" s="7">
        <v>0.75</v>
      </c>
      <c r="G131" s="203" t="s">
        <v>140</v>
      </c>
      <c r="H131" s="204" t="s">
        <v>141</v>
      </c>
      <c r="I131" s="204" t="s">
        <v>142</v>
      </c>
      <c r="J131" s="202">
        <f>ROUND(F131*D131/3600,4)</f>
        <v>2.0999999999999999E-3</v>
      </c>
      <c r="K131" s="202">
        <f>ROUND(F131*E131/1000000,4)</f>
        <v>6.4999999999999997E-3</v>
      </c>
      <c r="L131" s="25"/>
      <c r="M131" s="5"/>
      <c r="N131" s="5"/>
      <c r="O131" s="5"/>
      <c r="P131" s="5"/>
      <c r="Q131" s="5"/>
    </row>
    <row r="132" spans="1:17" ht="15" customHeight="1" x14ac:dyDescent="0.25">
      <c r="A132" s="1413"/>
      <c r="B132" s="1416"/>
      <c r="C132" s="1419"/>
      <c r="D132" s="1419"/>
      <c r="E132" s="1419"/>
      <c r="F132" s="7">
        <v>1.5</v>
      </c>
      <c r="G132" s="206" t="s">
        <v>143</v>
      </c>
      <c r="H132" s="205" t="s">
        <v>144</v>
      </c>
      <c r="I132" s="204" t="s">
        <v>142</v>
      </c>
      <c r="J132" s="202">
        <f>ROUND((F132*D131/3600)*(1-I132),4)</f>
        <v>4.1999999999999997E-3</v>
      </c>
      <c r="K132" s="202">
        <f>ROUND((F132*E131/1000000)*(1-I132),4)</f>
        <v>1.2999999999999999E-2</v>
      </c>
      <c r="L132" s="25"/>
      <c r="M132" s="5"/>
      <c r="N132" s="5"/>
      <c r="O132" s="5"/>
      <c r="P132" s="5"/>
      <c r="Q132" s="5"/>
    </row>
    <row r="133" spans="1:17" ht="15" customHeight="1" x14ac:dyDescent="0.25">
      <c r="A133" s="1413"/>
      <c r="B133" s="1416"/>
      <c r="C133" s="1419"/>
      <c r="D133" s="1419"/>
      <c r="E133" s="1419"/>
      <c r="F133" s="7">
        <v>0.92</v>
      </c>
      <c r="G133" s="203" t="s">
        <v>145</v>
      </c>
      <c r="H133" s="204" t="s">
        <v>146</v>
      </c>
      <c r="I133" s="204" t="s">
        <v>142</v>
      </c>
      <c r="J133" s="202">
        <f>ROUND((F133*D131/3600)*(1-I133),4)</f>
        <v>2.5999999999999999E-3</v>
      </c>
      <c r="K133" s="202">
        <f>ROUND((F133*E131/1000000)*(1-I133),4)</f>
        <v>8.0000000000000002E-3</v>
      </c>
      <c r="L133" s="25"/>
      <c r="M133" s="5"/>
      <c r="N133" s="5"/>
      <c r="O133" s="5"/>
      <c r="P133" s="5"/>
      <c r="Q133" s="5"/>
    </row>
    <row r="134" spans="1:17" ht="15" customHeight="1" x14ac:dyDescent="0.25">
      <c r="A134" s="1413"/>
      <c r="B134" s="1416"/>
      <c r="C134" s="1419"/>
      <c r="D134" s="1419"/>
      <c r="E134" s="1419"/>
      <c r="F134" s="7">
        <v>3.3</v>
      </c>
      <c r="G134" s="203" t="s">
        <v>147</v>
      </c>
      <c r="H134" s="204" t="s">
        <v>148</v>
      </c>
      <c r="I134" s="204" t="s">
        <v>142</v>
      </c>
      <c r="J134" s="202">
        <f>ROUND((F134*D131/3600)*(1-I134),4)</f>
        <v>9.2999999999999992E-3</v>
      </c>
      <c r="K134" s="202">
        <f>ROUND((F134*E131/1000000)*(1-I134),4)</f>
        <v>2.86E-2</v>
      </c>
      <c r="L134" s="25"/>
      <c r="M134" s="5"/>
      <c r="N134" s="5"/>
      <c r="O134" s="5"/>
      <c r="P134" s="5"/>
      <c r="Q134" s="5"/>
    </row>
    <row r="135" spans="1:17" ht="15" customHeight="1" x14ac:dyDescent="0.25">
      <c r="A135" s="1413"/>
      <c r="B135" s="1416"/>
      <c r="C135" s="1419"/>
      <c r="D135" s="1419"/>
      <c r="E135" s="1419"/>
      <c r="F135" s="7">
        <v>10.69</v>
      </c>
      <c r="G135" s="203" t="s">
        <v>149</v>
      </c>
      <c r="H135" s="204" t="s">
        <v>150</v>
      </c>
      <c r="I135" s="204" t="s">
        <v>142</v>
      </c>
      <c r="J135" s="202">
        <f>ROUND((F135*D131/3600)*(1-I135),4)</f>
        <v>0.03</v>
      </c>
      <c r="K135" s="202">
        <f>ROUND((F135*E131/1000000)*(1-I135),4)</f>
        <v>9.2799999999999994E-2</v>
      </c>
      <c r="L135" s="25"/>
      <c r="M135" s="5"/>
      <c r="N135" s="5"/>
      <c r="O135" s="5"/>
      <c r="P135" s="5"/>
      <c r="Q135" s="5"/>
    </row>
    <row r="136" spans="1:17" ht="15" customHeight="1" x14ac:dyDescent="0.25">
      <c r="A136" s="1413"/>
      <c r="B136" s="1416"/>
      <c r="C136" s="1419"/>
      <c r="D136" s="1419"/>
      <c r="E136" s="1419"/>
      <c r="F136" s="7">
        <v>1.4</v>
      </c>
      <c r="G136" s="207" t="s">
        <v>151</v>
      </c>
      <c r="H136" s="23">
        <v>2908</v>
      </c>
      <c r="I136" s="204" t="s">
        <v>142</v>
      </c>
      <c r="J136" s="202">
        <f>ROUND((F136*D131/3600)*(1-I136),4)</f>
        <v>3.8999999999999998E-3</v>
      </c>
      <c r="K136" s="202">
        <f>ROUND((F136*E131/1000000)*(1-I136),4)</f>
        <v>1.2200000000000001E-2</v>
      </c>
      <c r="L136" s="25"/>
      <c r="M136" s="5"/>
      <c r="N136" s="5"/>
      <c r="O136" s="5"/>
      <c r="P136" s="5"/>
      <c r="Q136" s="5"/>
    </row>
    <row r="137" spans="1:17" ht="15" customHeight="1" x14ac:dyDescent="0.25">
      <c r="A137" s="1414"/>
      <c r="B137" s="1417"/>
      <c r="C137" s="1420"/>
      <c r="D137" s="1420"/>
      <c r="E137" s="1420"/>
      <c r="F137" s="7">
        <v>13.3</v>
      </c>
      <c r="G137" s="203" t="s">
        <v>152</v>
      </c>
      <c r="H137" s="204" t="s">
        <v>153</v>
      </c>
      <c r="I137" s="204" t="s">
        <v>142</v>
      </c>
      <c r="J137" s="202">
        <f>ROUND((F137*D131/3600)*(1-I137),4)</f>
        <v>3.73E-2</v>
      </c>
      <c r="K137" s="202">
        <f>ROUND((F137*E131/1000000)*(1-I137),4)</f>
        <v>0.11550000000000001</v>
      </c>
      <c r="L137" s="25">
        <f>SUM(J131:J137)</f>
        <v>8.9400000000000007E-2</v>
      </c>
      <c r="M137" s="25">
        <f>SUM(K131:K137)</f>
        <v>0.27659999999999996</v>
      </c>
      <c r="N137" s="924"/>
      <c r="O137" s="5"/>
      <c r="P137" s="5"/>
      <c r="Q137" s="5"/>
    </row>
    <row r="138" spans="1:17" ht="15" customHeight="1" x14ac:dyDescent="0.25">
      <c r="A138" s="1411" t="s">
        <v>215</v>
      </c>
      <c r="B138" s="1411"/>
      <c r="C138" s="1411"/>
      <c r="D138" s="1411"/>
      <c r="E138" s="1411"/>
      <c r="F138" s="1411"/>
      <c r="G138" s="1411"/>
      <c r="H138" s="1411"/>
      <c r="I138" s="1411"/>
      <c r="J138" s="1411"/>
      <c r="K138" s="1411"/>
      <c r="L138" s="108"/>
      <c r="M138" s="4"/>
      <c r="N138" s="4"/>
      <c r="O138" s="4"/>
      <c r="P138" s="5"/>
      <c r="Q138" s="5"/>
    </row>
    <row r="139" spans="1:17" ht="15" customHeight="1" x14ac:dyDescent="0.25">
      <c r="A139" s="1412" t="s">
        <v>404</v>
      </c>
      <c r="B139" s="1415" t="s">
        <v>138</v>
      </c>
      <c r="C139" s="1418" t="s">
        <v>139</v>
      </c>
      <c r="D139" s="1418">
        <v>37.020000000000003</v>
      </c>
      <c r="E139" s="1418">
        <v>84697.8</v>
      </c>
      <c r="F139" s="7">
        <v>0.75</v>
      </c>
      <c r="G139" s="203" t="s">
        <v>140</v>
      </c>
      <c r="H139" s="204" t="s">
        <v>141</v>
      </c>
      <c r="I139" s="204" t="s">
        <v>142</v>
      </c>
      <c r="J139" s="202">
        <f>ROUND(F139*D139/3600,4)</f>
        <v>7.7000000000000002E-3</v>
      </c>
      <c r="K139" s="202">
        <f>ROUND(F139*E139/1000000,4)</f>
        <v>6.3500000000000001E-2</v>
      </c>
      <c r="L139" s="25"/>
      <c r="M139" s="5"/>
      <c r="N139" s="5"/>
      <c r="O139" s="5"/>
      <c r="P139" s="5"/>
      <c r="Q139" s="5"/>
    </row>
    <row r="140" spans="1:17" ht="15" customHeight="1" x14ac:dyDescent="0.25">
      <c r="A140" s="1413"/>
      <c r="B140" s="1416"/>
      <c r="C140" s="1419"/>
      <c r="D140" s="1419"/>
      <c r="E140" s="1419"/>
      <c r="F140" s="7">
        <v>1.5</v>
      </c>
      <c r="G140" s="206" t="s">
        <v>143</v>
      </c>
      <c r="H140" s="205" t="s">
        <v>144</v>
      </c>
      <c r="I140" s="204" t="s">
        <v>142</v>
      </c>
      <c r="J140" s="202">
        <f>ROUND((F140*D139/3600)*(1-I140),4)</f>
        <v>1.54E-2</v>
      </c>
      <c r="K140" s="202">
        <f>ROUND((F140*E139/1000000)*(1-I140),4)</f>
        <v>0.127</v>
      </c>
      <c r="L140" s="25"/>
      <c r="M140" s="5"/>
      <c r="N140" s="5"/>
      <c r="O140" s="5"/>
      <c r="P140" s="5"/>
      <c r="Q140" s="5"/>
    </row>
    <row r="141" spans="1:17" ht="15" customHeight="1" x14ac:dyDescent="0.25">
      <c r="A141" s="1413"/>
      <c r="B141" s="1416"/>
      <c r="C141" s="1419"/>
      <c r="D141" s="1419"/>
      <c r="E141" s="1419"/>
      <c r="F141" s="7">
        <v>0.92</v>
      </c>
      <c r="G141" s="203" t="s">
        <v>145</v>
      </c>
      <c r="H141" s="204" t="s">
        <v>146</v>
      </c>
      <c r="I141" s="204" t="s">
        <v>142</v>
      </c>
      <c r="J141" s="202">
        <f>ROUND((F141*D139/3600)*(1-I141),4)</f>
        <v>9.4999999999999998E-3</v>
      </c>
      <c r="K141" s="202">
        <f>ROUND((F141*E139/1000000)*(1-I141),4)</f>
        <v>7.7899999999999997E-2</v>
      </c>
      <c r="L141" s="25"/>
      <c r="M141" s="5"/>
      <c r="N141" s="5"/>
      <c r="O141" s="5"/>
      <c r="P141" s="5"/>
      <c r="Q141" s="5"/>
    </row>
    <row r="142" spans="1:17" ht="15" customHeight="1" x14ac:dyDescent="0.25">
      <c r="A142" s="1413"/>
      <c r="B142" s="1416"/>
      <c r="C142" s="1419"/>
      <c r="D142" s="1419"/>
      <c r="E142" s="1419"/>
      <c r="F142" s="7">
        <v>3.3</v>
      </c>
      <c r="G142" s="203" t="s">
        <v>147</v>
      </c>
      <c r="H142" s="204" t="s">
        <v>148</v>
      </c>
      <c r="I142" s="204" t="s">
        <v>142</v>
      </c>
      <c r="J142" s="202">
        <f>ROUND((F142*D139/3600)*(1-I142),4)</f>
        <v>3.39E-2</v>
      </c>
      <c r="K142" s="202">
        <f>ROUND((F142*E139/1000000)*(1-I142),4)</f>
        <v>0.27950000000000003</v>
      </c>
      <c r="L142" s="25"/>
      <c r="M142" s="5"/>
      <c r="N142" s="5"/>
      <c r="O142" s="5"/>
      <c r="P142" s="5"/>
      <c r="Q142" s="5"/>
    </row>
    <row r="143" spans="1:17" ht="15" customHeight="1" x14ac:dyDescent="0.25">
      <c r="A143" s="1413"/>
      <c r="B143" s="1416"/>
      <c r="C143" s="1419"/>
      <c r="D143" s="1419"/>
      <c r="E143" s="1419"/>
      <c r="F143" s="7">
        <v>10.69</v>
      </c>
      <c r="G143" s="203" t="s">
        <v>149</v>
      </c>
      <c r="H143" s="204" t="s">
        <v>150</v>
      </c>
      <c r="I143" s="204" t="s">
        <v>142</v>
      </c>
      <c r="J143" s="202">
        <f>ROUND((F143*D139/3600)*(1-I143),4)</f>
        <v>0.1099</v>
      </c>
      <c r="K143" s="202">
        <f>ROUND((F143*E139/1000000)*(1-I143),4)</f>
        <v>0.90539999999999998</v>
      </c>
      <c r="L143" s="25"/>
      <c r="M143" s="5"/>
      <c r="N143" s="5"/>
      <c r="O143" s="5"/>
      <c r="P143" s="5"/>
      <c r="Q143" s="5"/>
    </row>
    <row r="144" spans="1:17" ht="15" customHeight="1" x14ac:dyDescent="0.25">
      <c r="A144" s="1413"/>
      <c r="B144" s="1416"/>
      <c r="C144" s="1419"/>
      <c r="D144" s="1419"/>
      <c r="E144" s="1419"/>
      <c r="F144" s="7">
        <v>1.4</v>
      </c>
      <c r="G144" s="207" t="s">
        <v>151</v>
      </c>
      <c r="H144" s="23">
        <v>2908</v>
      </c>
      <c r="I144" s="204" t="s">
        <v>142</v>
      </c>
      <c r="J144" s="202">
        <f>ROUND((F144*D139/3600)*(1-I144),4)</f>
        <v>1.44E-2</v>
      </c>
      <c r="K144" s="202">
        <f>ROUND((F144*E139/1000000)*(1-I144),4)</f>
        <v>0.1186</v>
      </c>
      <c r="L144" s="25"/>
      <c r="M144" s="5"/>
      <c r="N144" s="5"/>
      <c r="O144" s="5"/>
      <c r="P144" s="5"/>
      <c r="Q144" s="5"/>
    </row>
    <row r="145" spans="1:17" ht="15" customHeight="1" x14ac:dyDescent="0.25">
      <c r="A145" s="1414"/>
      <c r="B145" s="1417"/>
      <c r="C145" s="1420"/>
      <c r="D145" s="1420"/>
      <c r="E145" s="1420"/>
      <c r="F145" s="7">
        <v>13.3</v>
      </c>
      <c r="G145" s="203" t="s">
        <v>152</v>
      </c>
      <c r="H145" s="204" t="s">
        <v>153</v>
      </c>
      <c r="I145" s="204" t="s">
        <v>142</v>
      </c>
      <c r="J145" s="202">
        <f>ROUND((F145*D139/3600)*(1-I145),4)</f>
        <v>0.1368</v>
      </c>
      <c r="K145" s="202">
        <f>ROUND((F145*E139/1000000)*(1-I145),4)</f>
        <v>1.1265000000000001</v>
      </c>
      <c r="L145" s="25">
        <f>SUM(J139:J145)</f>
        <v>0.3276</v>
      </c>
      <c r="M145" s="25">
        <f>SUM(K139:K145)</f>
        <v>2.6984000000000004</v>
      </c>
      <c r="N145" s="924"/>
      <c r="O145" s="5"/>
      <c r="P145" s="5"/>
      <c r="Q145" s="5"/>
    </row>
    <row r="146" spans="1:17" ht="15" customHeight="1" x14ac:dyDescent="0.25">
      <c r="A146" s="1411" t="s">
        <v>232</v>
      </c>
      <c r="B146" s="1411"/>
      <c r="C146" s="1411"/>
      <c r="D146" s="1411"/>
      <c r="E146" s="1411"/>
      <c r="F146" s="1411"/>
      <c r="G146" s="1411"/>
      <c r="H146" s="1411"/>
      <c r="I146" s="1411"/>
      <c r="J146" s="1411"/>
      <c r="K146" s="1411"/>
      <c r="L146" s="108"/>
      <c r="M146" s="4"/>
      <c r="N146" s="4"/>
      <c r="O146" s="4"/>
      <c r="P146" s="5"/>
      <c r="Q146" s="5"/>
    </row>
    <row r="147" spans="1:17" ht="15" customHeight="1" x14ac:dyDescent="0.25">
      <c r="A147" s="1412" t="s">
        <v>407</v>
      </c>
      <c r="B147" s="1415" t="s">
        <v>138</v>
      </c>
      <c r="C147" s="1418" t="s">
        <v>139</v>
      </c>
      <c r="D147" s="1418">
        <v>0.06</v>
      </c>
      <c r="E147" s="1418">
        <v>53.4</v>
      </c>
      <c r="F147" s="7">
        <v>0.75</v>
      </c>
      <c r="G147" s="203" t="s">
        <v>140</v>
      </c>
      <c r="H147" s="204" t="s">
        <v>141</v>
      </c>
      <c r="I147" s="204" t="s">
        <v>142</v>
      </c>
      <c r="J147" s="202">
        <f>ROUND(F147*D147/3600,5)</f>
        <v>1.0000000000000001E-5</v>
      </c>
      <c r="K147" s="202">
        <f>ROUND(F147*E147/1000000,5)</f>
        <v>4.0000000000000003E-5</v>
      </c>
      <c r="L147" s="25"/>
      <c r="M147" s="5"/>
      <c r="N147" s="5"/>
      <c r="O147" s="5"/>
      <c r="P147" s="5"/>
      <c r="Q147" s="5"/>
    </row>
    <row r="148" spans="1:17" ht="15" customHeight="1" x14ac:dyDescent="0.25">
      <c r="A148" s="1413"/>
      <c r="B148" s="1416"/>
      <c r="C148" s="1419"/>
      <c r="D148" s="1419"/>
      <c r="E148" s="1419"/>
      <c r="F148" s="7">
        <v>1.5</v>
      </c>
      <c r="G148" s="206" t="s">
        <v>143</v>
      </c>
      <c r="H148" s="205" t="s">
        <v>144</v>
      </c>
      <c r="I148" s="204" t="s">
        <v>142</v>
      </c>
      <c r="J148" s="202">
        <f>ROUND((F148*D147/3600)*(1-I148),5)</f>
        <v>3.0000000000000001E-5</v>
      </c>
      <c r="K148" s="202">
        <f>ROUND((F148*E147/1000000)*(1-I148),4)</f>
        <v>1E-4</v>
      </c>
      <c r="L148" s="25"/>
      <c r="M148" s="5"/>
      <c r="N148" s="5"/>
      <c r="O148" s="5"/>
      <c r="P148" s="5"/>
      <c r="Q148" s="5"/>
    </row>
    <row r="149" spans="1:17" ht="15" customHeight="1" x14ac:dyDescent="0.25">
      <c r="A149" s="1413"/>
      <c r="B149" s="1416"/>
      <c r="C149" s="1419"/>
      <c r="D149" s="1419"/>
      <c r="E149" s="1419"/>
      <c r="F149" s="7">
        <v>0.92</v>
      </c>
      <c r="G149" s="203" t="s">
        <v>145</v>
      </c>
      <c r="H149" s="204" t="s">
        <v>146</v>
      </c>
      <c r="I149" s="204" t="s">
        <v>142</v>
      </c>
      <c r="J149" s="202">
        <f>ROUND((F149*D147/3600)*(1-I149),5)</f>
        <v>2.0000000000000002E-5</v>
      </c>
      <c r="K149" s="202">
        <f>ROUND((F149*E147/1000000)*(1-I149),5)</f>
        <v>5.0000000000000002E-5</v>
      </c>
      <c r="L149" s="25"/>
      <c r="M149" s="5"/>
      <c r="N149" s="5"/>
      <c r="O149" s="5"/>
      <c r="P149" s="5"/>
      <c r="Q149" s="5"/>
    </row>
    <row r="150" spans="1:17" ht="15" customHeight="1" x14ac:dyDescent="0.25">
      <c r="A150" s="1413"/>
      <c r="B150" s="1416"/>
      <c r="C150" s="1419"/>
      <c r="D150" s="1419"/>
      <c r="E150" s="1419"/>
      <c r="F150" s="7">
        <v>3.3</v>
      </c>
      <c r="G150" s="203" t="s">
        <v>147</v>
      </c>
      <c r="H150" s="204" t="s">
        <v>148</v>
      </c>
      <c r="I150" s="204" t="s">
        <v>142</v>
      </c>
      <c r="J150" s="202">
        <f>ROUND((F150*D147/3600)*(1-I150),4)</f>
        <v>1E-4</v>
      </c>
      <c r="K150" s="202">
        <f>ROUND((F150*E147/1000000)*(1-I150),4)</f>
        <v>2.0000000000000001E-4</v>
      </c>
      <c r="L150" s="25"/>
      <c r="M150" s="5"/>
      <c r="N150" s="5"/>
      <c r="O150" s="5"/>
      <c r="P150" s="5"/>
      <c r="Q150" s="5"/>
    </row>
    <row r="151" spans="1:17" ht="15" customHeight="1" x14ac:dyDescent="0.25">
      <c r="A151" s="1413"/>
      <c r="B151" s="1416"/>
      <c r="C151" s="1419"/>
      <c r="D151" s="1419"/>
      <c r="E151" s="1419"/>
      <c r="F151" s="7">
        <v>10.69</v>
      </c>
      <c r="G151" s="203" t="s">
        <v>149</v>
      </c>
      <c r="H151" s="204" t="s">
        <v>150</v>
      </c>
      <c r="I151" s="204" t="s">
        <v>142</v>
      </c>
      <c r="J151" s="202">
        <f>ROUND((F151*D147/3600)*(1-I151),4)</f>
        <v>2.0000000000000001E-4</v>
      </c>
      <c r="K151" s="202">
        <f>ROUND((F151*E147/1000000)*(1-I151),4)</f>
        <v>5.9999999999999995E-4</v>
      </c>
      <c r="L151" s="25"/>
      <c r="M151" s="5"/>
      <c r="N151" s="5"/>
      <c r="O151" s="5"/>
      <c r="P151" s="5"/>
      <c r="Q151" s="5"/>
    </row>
    <row r="152" spans="1:17" ht="15" customHeight="1" x14ac:dyDescent="0.25">
      <c r="A152" s="1413"/>
      <c r="B152" s="1416"/>
      <c r="C152" s="1419"/>
      <c r="D152" s="1419"/>
      <c r="E152" s="1419"/>
      <c r="F152" s="7">
        <v>1.4</v>
      </c>
      <c r="G152" s="207" t="s">
        <v>151</v>
      </c>
      <c r="H152" s="23">
        <v>2908</v>
      </c>
      <c r="I152" s="204" t="s">
        <v>142</v>
      </c>
      <c r="J152" s="202">
        <f>ROUND((F152*D147/3600)*(1-I152),5)</f>
        <v>2.0000000000000002E-5</v>
      </c>
      <c r="K152" s="202">
        <f>ROUND((F152*E147/1000000)*(1-I152),4)</f>
        <v>1E-4</v>
      </c>
      <c r="L152" s="25"/>
      <c r="M152" s="5"/>
      <c r="N152" s="5"/>
      <c r="O152" s="5"/>
      <c r="P152" s="5"/>
      <c r="Q152" s="5"/>
    </row>
    <row r="153" spans="1:17" ht="15" customHeight="1" x14ac:dyDescent="0.25">
      <c r="A153" s="1414"/>
      <c r="B153" s="1417"/>
      <c r="C153" s="1420"/>
      <c r="D153" s="1420"/>
      <c r="E153" s="1420"/>
      <c r="F153" s="7">
        <v>13.3</v>
      </c>
      <c r="G153" s="203" t="s">
        <v>152</v>
      </c>
      <c r="H153" s="204" t="s">
        <v>153</v>
      </c>
      <c r="I153" s="204" t="s">
        <v>142</v>
      </c>
      <c r="J153" s="202">
        <f>ROUND((F153*D147/3600)*(1-I153),4)</f>
        <v>2.0000000000000001E-4</v>
      </c>
      <c r="K153" s="202">
        <f>ROUND((F153*E147/1000000)*(1-I153),4)</f>
        <v>6.9999999999999999E-4</v>
      </c>
      <c r="L153" s="25">
        <f>SUM(J147:J153)</f>
        <v>5.8E-4</v>
      </c>
      <c r="M153" s="25">
        <f>SUM(K147:K153)</f>
        <v>1.7899999999999999E-3</v>
      </c>
      <c r="N153" s="924"/>
      <c r="O153" s="5"/>
      <c r="P153" s="5"/>
      <c r="Q153" s="5"/>
    </row>
    <row r="154" spans="1:17" ht="15" customHeight="1" x14ac:dyDescent="0.25">
      <c r="A154" s="1428" t="s">
        <v>233</v>
      </c>
      <c r="B154" s="1428"/>
      <c r="C154" s="1428"/>
      <c r="D154" s="1428"/>
      <c r="E154" s="1428"/>
      <c r="F154" s="1428"/>
      <c r="G154" s="1428"/>
      <c r="H154" s="1428"/>
      <c r="I154" s="1428"/>
      <c r="J154" s="1428"/>
      <c r="K154" s="1428"/>
      <c r="L154" s="108"/>
      <c r="M154" s="4"/>
      <c r="N154" s="4"/>
      <c r="O154" s="4"/>
      <c r="P154" s="5"/>
      <c r="Q154" s="5"/>
    </row>
    <row r="155" spans="1:17" ht="15" customHeight="1" x14ac:dyDescent="0.25">
      <c r="A155" s="1429" t="s">
        <v>417</v>
      </c>
      <c r="B155" s="1432" t="s">
        <v>138</v>
      </c>
      <c r="C155" s="1421" t="s">
        <v>139</v>
      </c>
      <c r="D155" s="1421">
        <v>11.5</v>
      </c>
      <c r="E155" s="1418">
        <v>6578.7</v>
      </c>
      <c r="F155" s="311">
        <v>0.75</v>
      </c>
      <c r="G155" s="317" t="s">
        <v>140</v>
      </c>
      <c r="H155" s="318" t="s">
        <v>141</v>
      </c>
      <c r="I155" s="318" t="s">
        <v>142</v>
      </c>
      <c r="J155" s="319">
        <f>ROUND(F155*D155/3600,5)</f>
        <v>2.3999999999999998E-3</v>
      </c>
      <c r="K155" s="319">
        <f>ROUND(F155*E155/1000000,5)</f>
        <v>4.9300000000000004E-3</v>
      </c>
      <c r="L155" s="25"/>
      <c r="M155" s="5"/>
      <c r="N155" s="5"/>
      <c r="O155" s="5"/>
      <c r="P155" s="5"/>
      <c r="Q155" s="5"/>
    </row>
    <row r="156" spans="1:17" ht="15" customHeight="1" x14ac:dyDescent="0.25">
      <c r="A156" s="1430"/>
      <c r="B156" s="1433"/>
      <c r="C156" s="1422"/>
      <c r="D156" s="1422"/>
      <c r="E156" s="1419"/>
      <c r="F156" s="311">
        <v>1.5</v>
      </c>
      <c r="G156" s="321" t="s">
        <v>143</v>
      </c>
      <c r="H156" s="320" t="s">
        <v>144</v>
      </c>
      <c r="I156" s="318" t="s">
        <v>142</v>
      </c>
      <c r="J156" s="319">
        <f>ROUND((F156*D155/3600)*(1-I156),5)</f>
        <v>4.79E-3</v>
      </c>
      <c r="K156" s="319">
        <f>ROUND((F156*E155/1000000)*(1-I156),4)</f>
        <v>9.9000000000000008E-3</v>
      </c>
      <c r="L156" s="25"/>
      <c r="M156" s="5"/>
      <c r="N156" s="5"/>
      <c r="O156" s="5"/>
      <c r="P156" s="5"/>
      <c r="Q156" s="5"/>
    </row>
    <row r="157" spans="1:17" ht="15" customHeight="1" x14ac:dyDescent="0.25">
      <c r="A157" s="1430"/>
      <c r="B157" s="1433"/>
      <c r="C157" s="1422"/>
      <c r="D157" s="1422"/>
      <c r="E157" s="1419"/>
      <c r="F157" s="311">
        <v>0.92</v>
      </c>
      <c r="G157" s="317" t="s">
        <v>145</v>
      </c>
      <c r="H157" s="318" t="s">
        <v>146</v>
      </c>
      <c r="I157" s="318" t="s">
        <v>142</v>
      </c>
      <c r="J157" s="319">
        <f>ROUND((F157*D155/3600)*(1-I157),5)</f>
        <v>2.9399999999999999E-3</v>
      </c>
      <c r="K157" s="319">
        <f>ROUND((F157*E155/1000000)*(1-I157),5)</f>
        <v>6.0499999999999998E-3</v>
      </c>
      <c r="L157" s="25"/>
      <c r="M157" s="5"/>
      <c r="N157" s="5"/>
      <c r="O157" s="5"/>
      <c r="P157" s="5"/>
      <c r="Q157" s="5"/>
    </row>
    <row r="158" spans="1:17" ht="15" customHeight="1" x14ac:dyDescent="0.25">
      <c r="A158" s="1430"/>
      <c r="B158" s="1433"/>
      <c r="C158" s="1422"/>
      <c r="D158" s="1422"/>
      <c r="E158" s="1419"/>
      <c r="F158" s="311">
        <v>3.3</v>
      </c>
      <c r="G158" s="317" t="s">
        <v>147</v>
      </c>
      <c r="H158" s="318" t="s">
        <v>148</v>
      </c>
      <c r="I158" s="318" t="s">
        <v>142</v>
      </c>
      <c r="J158" s="319">
        <f>ROUND((F158*D155/3600)*(1-I158),4)</f>
        <v>1.0500000000000001E-2</v>
      </c>
      <c r="K158" s="319">
        <f>ROUND((F158*E155/1000000)*(1-I158),4)</f>
        <v>2.1700000000000001E-2</v>
      </c>
      <c r="L158" s="25"/>
      <c r="M158" s="5"/>
      <c r="N158" s="5"/>
      <c r="O158" s="5"/>
      <c r="P158" s="5"/>
      <c r="Q158" s="5"/>
    </row>
    <row r="159" spans="1:17" ht="15" customHeight="1" x14ac:dyDescent="0.25">
      <c r="A159" s="1430"/>
      <c r="B159" s="1433"/>
      <c r="C159" s="1422"/>
      <c r="D159" s="1422"/>
      <c r="E159" s="1419"/>
      <c r="F159" s="311">
        <v>10.69</v>
      </c>
      <c r="G159" s="317" t="s">
        <v>149</v>
      </c>
      <c r="H159" s="318" t="s">
        <v>150</v>
      </c>
      <c r="I159" s="318" t="s">
        <v>142</v>
      </c>
      <c r="J159" s="319">
        <f>ROUND((F159*D155/3600)*(1-I159),4)</f>
        <v>3.4099999999999998E-2</v>
      </c>
      <c r="K159" s="319">
        <f>ROUND((F159*E155/1000000)*(1-I159),4)</f>
        <v>7.0300000000000001E-2</v>
      </c>
      <c r="L159" s="25"/>
      <c r="M159" s="5"/>
      <c r="N159" s="5"/>
      <c r="O159" s="5"/>
      <c r="P159" s="5"/>
      <c r="Q159" s="5"/>
    </row>
    <row r="160" spans="1:17" ht="15" customHeight="1" x14ac:dyDescent="0.25">
      <c r="A160" s="1430"/>
      <c r="B160" s="1433"/>
      <c r="C160" s="1422"/>
      <c r="D160" s="1422"/>
      <c r="E160" s="1419"/>
      <c r="F160" s="311">
        <v>1.4</v>
      </c>
      <c r="G160" s="322" t="s">
        <v>151</v>
      </c>
      <c r="H160" s="323">
        <v>2908</v>
      </c>
      <c r="I160" s="318" t="s">
        <v>142</v>
      </c>
      <c r="J160" s="319">
        <f>ROUND((F160*D155/3600)*(1-I160),5)</f>
        <v>4.47E-3</v>
      </c>
      <c r="K160" s="319">
        <f>ROUND((F160*E155/1000000)*(1-I160),4)</f>
        <v>9.1999999999999998E-3</v>
      </c>
      <c r="L160" s="25"/>
      <c r="M160" s="5"/>
      <c r="N160" s="5"/>
      <c r="O160" s="5"/>
      <c r="P160" s="5"/>
      <c r="Q160" s="5"/>
    </row>
    <row r="161" spans="1:17" ht="15" customHeight="1" x14ac:dyDescent="0.25">
      <c r="A161" s="1431"/>
      <c r="B161" s="1434"/>
      <c r="C161" s="1423"/>
      <c r="D161" s="1423"/>
      <c r="E161" s="1420"/>
      <c r="F161" s="311">
        <v>13.3</v>
      </c>
      <c r="G161" s="317" t="s">
        <v>152</v>
      </c>
      <c r="H161" s="318" t="s">
        <v>153</v>
      </c>
      <c r="I161" s="318" t="s">
        <v>142</v>
      </c>
      <c r="J161" s="319">
        <f>ROUND((F161*D155/3600)*(1-I161),4)</f>
        <v>4.2500000000000003E-2</v>
      </c>
      <c r="K161" s="319">
        <f>ROUND((F161*E155/1000000)*(1-I161),4)</f>
        <v>8.7499999999999994E-2</v>
      </c>
      <c r="L161" s="25">
        <f>SUM(J155:J161)</f>
        <v>0.10170000000000001</v>
      </c>
      <c r="M161" s="25">
        <f>SUM(K155:K161)</f>
        <v>0.20957999999999999</v>
      </c>
      <c r="N161" s="924"/>
      <c r="O161" s="5"/>
      <c r="P161" s="5"/>
      <c r="Q161" s="5"/>
    </row>
    <row r="162" spans="1:17" ht="15" customHeight="1" x14ac:dyDescent="0.25">
      <c r="A162" s="1411" t="s">
        <v>244</v>
      </c>
      <c r="B162" s="1411"/>
      <c r="C162" s="1411"/>
      <c r="D162" s="1411"/>
      <c r="E162" s="1411"/>
      <c r="F162" s="1411"/>
      <c r="G162" s="1411"/>
      <c r="H162" s="1411"/>
      <c r="I162" s="1411"/>
      <c r="J162" s="1411"/>
      <c r="K162" s="1411"/>
      <c r="L162" s="108"/>
      <c r="M162" s="4"/>
      <c r="N162" s="4"/>
      <c r="O162" s="4"/>
      <c r="P162" s="5"/>
      <c r="Q162" s="5"/>
    </row>
    <row r="163" spans="1:17" ht="15" customHeight="1" x14ac:dyDescent="0.25">
      <c r="A163" s="1412" t="s">
        <v>432</v>
      </c>
      <c r="B163" s="1415" t="s">
        <v>138</v>
      </c>
      <c r="C163" s="1418" t="s">
        <v>139</v>
      </c>
      <c r="D163" s="1418">
        <v>22.6</v>
      </c>
      <c r="E163" s="1418">
        <v>25817.599999999999</v>
      </c>
      <c r="F163" s="7">
        <v>0.75</v>
      </c>
      <c r="G163" s="203" t="s">
        <v>140</v>
      </c>
      <c r="H163" s="204" t="s">
        <v>141</v>
      </c>
      <c r="I163" s="204" t="s">
        <v>142</v>
      </c>
      <c r="J163" s="202">
        <f>ROUND(F163*D163/3600,4)</f>
        <v>4.7000000000000002E-3</v>
      </c>
      <c r="K163" s="202">
        <f>ROUND(F163*E163/1000000,4)</f>
        <v>1.9400000000000001E-2</v>
      </c>
      <c r="L163" s="25"/>
      <c r="M163" s="5"/>
      <c r="N163" s="5"/>
      <c r="O163" s="5"/>
      <c r="P163" s="5"/>
      <c r="Q163" s="5"/>
    </row>
    <row r="164" spans="1:17" ht="15" customHeight="1" x14ac:dyDescent="0.25">
      <c r="A164" s="1413"/>
      <c r="B164" s="1416"/>
      <c r="C164" s="1419"/>
      <c r="D164" s="1419"/>
      <c r="E164" s="1419"/>
      <c r="F164" s="7">
        <v>1.5</v>
      </c>
      <c r="G164" s="206" t="s">
        <v>143</v>
      </c>
      <c r="H164" s="205" t="s">
        <v>144</v>
      </c>
      <c r="I164" s="204" t="s">
        <v>142</v>
      </c>
      <c r="J164" s="202">
        <f>ROUND((F164*D163/3600)*(1-I164),4)</f>
        <v>9.4000000000000004E-3</v>
      </c>
      <c r="K164" s="202">
        <f>ROUND((F164*E163/1000000)*(1-I164),4)</f>
        <v>3.8699999999999998E-2</v>
      </c>
      <c r="L164" s="25"/>
      <c r="M164" s="5"/>
      <c r="N164" s="5"/>
      <c r="O164" s="5"/>
      <c r="P164" s="5"/>
      <c r="Q164" s="5"/>
    </row>
    <row r="165" spans="1:17" ht="15" customHeight="1" x14ac:dyDescent="0.25">
      <c r="A165" s="1413"/>
      <c r="B165" s="1416"/>
      <c r="C165" s="1419"/>
      <c r="D165" s="1419"/>
      <c r="E165" s="1419"/>
      <c r="F165" s="7">
        <v>0.92</v>
      </c>
      <c r="G165" s="203" t="s">
        <v>145</v>
      </c>
      <c r="H165" s="204" t="s">
        <v>146</v>
      </c>
      <c r="I165" s="204" t="s">
        <v>142</v>
      </c>
      <c r="J165" s="202">
        <f>ROUND((F165*D163/3600)*(1-I165),4)</f>
        <v>5.7999999999999996E-3</v>
      </c>
      <c r="K165" s="202">
        <f>ROUND((F165*E163/1000000)*(1-I165),4)</f>
        <v>2.3800000000000002E-2</v>
      </c>
      <c r="L165" s="25"/>
      <c r="M165" s="5"/>
      <c r="N165" s="5"/>
      <c r="O165" s="5"/>
      <c r="P165" s="5"/>
      <c r="Q165" s="5"/>
    </row>
    <row r="166" spans="1:17" ht="15" customHeight="1" x14ac:dyDescent="0.25">
      <c r="A166" s="1413"/>
      <c r="B166" s="1416"/>
      <c r="C166" s="1419"/>
      <c r="D166" s="1419"/>
      <c r="E166" s="1419"/>
      <c r="F166" s="7">
        <v>3.3</v>
      </c>
      <c r="G166" s="203" t="s">
        <v>147</v>
      </c>
      <c r="H166" s="204" t="s">
        <v>148</v>
      </c>
      <c r="I166" s="204" t="s">
        <v>142</v>
      </c>
      <c r="J166" s="202">
        <f>ROUND((F166*D163/3600)*(1-I166),4)</f>
        <v>2.07E-2</v>
      </c>
      <c r="K166" s="202">
        <f>ROUND((F166*E163/1000000)*(1-I166),4)</f>
        <v>8.5199999999999998E-2</v>
      </c>
      <c r="L166" s="25"/>
      <c r="M166" s="5"/>
      <c r="N166" s="5"/>
      <c r="O166" s="5"/>
      <c r="P166" s="5"/>
      <c r="Q166" s="5"/>
    </row>
    <row r="167" spans="1:17" ht="15" customHeight="1" x14ac:dyDescent="0.25">
      <c r="A167" s="1413"/>
      <c r="B167" s="1416"/>
      <c r="C167" s="1419"/>
      <c r="D167" s="1419"/>
      <c r="E167" s="1419"/>
      <c r="F167" s="7">
        <v>10.69</v>
      </c>
      <c r="G167" s="203" t="s">
        <v>149</v>
      </c>
      <c r="H167" s="204" t="s">
        <v>150</v>
      </c>
      <c r="I167" s="204" t="s">
        <v>142</v>
      </c>
      <c r="J167" s="202">
        <f>ROUND((F167*D163/3600)*(1-I167),4)</f>
        <v>6.7100000000000007E-2</v>
      </c>
      <c r="K167" s="202">
        <f>ROUND((F167*E163/1000000)*(1-I167),4)</f>
        <v>0.27600000000000002</v>
      </c>
      <c r="L167" s="25"/>
      <c r="M167" s="5"/>
      <c r="N167" s="5"/>
      <c r="O167" s="5"/>
      <c r="P167" s="5"/>
      <c r="Q167" s="5"/>
    </row>
    <row r="168" spans="1:17" ht="15" customHeight="1" x14ac:dyDescent="0.25">
      <c r="A168" s="1413"/>
      <c r="B168" s="1416"/>
      <c r="C168" s="1419"/>
      <c r="D168" s="1419"/>
      <c r="E168" s="1419"/>
      <c r="F168" s="7">
        <v>1.4</v>
      </c>
      <c r="G168" s="207" t="s">
        <v>151</v>
      </c>
      <c r="H168" s="23">
        <v>2908</v>
      </c>
      <c r="I168" s="204" t="s">
        <v>142</v>
      </c>
      <c r="J168" s="202">
        <f>ROUND((F168*D163/3600)*(1-I168),4)</f>
        <v>8.8000000000000005E-3</v>
      </c>
      <c r="K168" s="202">
        <f>ROUND((F168*E163/1000000)*(1-I168),4)</f>
        <v>3.61E-2</v>
      </c>
      <c r="L168" s="25"/>
      <c r="M168" s="5"/>
      <c r="N168" s="5"/>
      <c r="O168" s="5"/>
      <c r="P168" s="5"/>
      <c r="Q168" s="5"/>
    </row>
    <row r="169" spans="1:17" ht="15" customHeight="1" x14ac:dyDescent="0.25">
      <c r="A169" s="1414"/>
      <c r="B169" s="1417"/>
      <c r="C169" s="1420"/>
      <c r="D169" s="1420"/>
      <c r="E169" s="1420"/>
      <c r="F169" s="7">
        <v>13.3</v>
      </c>
      <c r="G169" s="203" t="s">
        <v>152</v>
      </c>
      <c r="H169" s="204" t="s">
        <v>153</v>
      </c>
      <c r="I169" s="204" t="s">
        <v>142</v>
      </c>
      <c r="J169" s="202">
        <f>ROUND((F169*D163/3600)*(1-I169),4)</f>
        <v>8.3500000000000005E-2</v>
      </c>
      <c r="K169" s="202">
        <f>ROUND((F169*E163/1000000)*(1-I169),4)</f>
        <v>0.34339999999999998</v>
      </c>
      <c r="L169" s="25">
        <f>SUM(J163:J169)</f>
        <v>0.2</v>
      </c>
      <c r="M169" s="25">
        <f>SUM(K163:K169)</f>
        <v>0.8226</v>
      </c>
      <c r="N169" s="924"/>
      <c r="O169" s="5"/>
      <c r="P169" s="5"/>
      <c r="Q169" s="5"/>
    </row>
    <row r="170" spans="1:17" ht="15" customHeight="1" x14ac:dyDescent="0.25">
      <c r="A170" s="1428" t="s">
        <v>257</v>
      </c>
      <c r="B170" s="1428"/>
      <c r="C170" s="1428"/>
      <c r="D170" s="1428"/>
      <c r="E170" s="1428"/>
      <c r="F170" s="1428"/>
      <c r="G170" s="1428"/>
      <c r="H170" s="1428"/>
      <c r="I170" s="1428"/>
      <c r="J170" s="1428"/>
      <c r="K170" s="1428"/>
      <c r="L170" s="108"/>
      <c r="M170" s="4"/>
      <c r="N170" s="4"/>
      <c r="O170" s="4"/>
      <c r="P170" s="5"/>
      <c r="Q170" s="5"/>
    </row>
    <row r="171" spans="1:17" s="147" customFormat="1" ht="15" customHeight="1" x14ac:dyDescent="0.25">
      <c r="A171" s="1429" t="s">
        <v>451</v>
      </c>
      <c r="B171" s="1432" t="s">
        <v>138</v>
      </c>
      <c r="C171" s="1421" t="s">
        <v>139</v>
      </c>
      <c r="D171" s="1421">
        <v>0.17</v>
      </c>
      <c r="E171" s="1418">
        <v>289.5</v>
      </c>
      <c r="F171" s="311">
        <v>0.75</v>
      </c>
      <c r="G171" s="317" t="s">
        <v>140</v>
      </c>
      <c r="H171" s="318" t="s">
        <v>141</v>
      </c>
      <c r="I171" s="318" t="s">
        <v>142</v>
      </c>
      <c r="J171" s="319">
        <f>ROUND(F171*D171/3600,5)</f>
        <v>4.0000000000000003E-5</v>
      </c>
      <c r="K171" s="319">
        <f>ROUND(F171*E171/1000000,4)</f>
        <v>2.0000000000000001E-4</v>
      </c>
      <c r="L171" s="901"/>
      <c r="M171" s="860"/>
      <c r="N171" s="860"/>
      <c r="O171" s="860"/>
      <c r="P171" s="860"/>
      <c r="Q171" s="860"/>
    </row>
    <row r="172" spans="1:17" s="147" customFormat="1" ht="15" customHeight="1" x14ac:dyDescent="0.25">
      <c r="A172" s="1430"/>
      <c r="B172" s="1433"/>
      <c r="C172" s="1422"/>
      <c r="D172" s="1422"/>
      <c r="E172" s="1419"/>
      <c r="F172" s="311">
        <v>1.5</v>
      </c>
      <c r="G172" s="321" t="s">
        <v>143</v>
      </c>
      <c r="H172" s="320" t="s">
        <v>144</v>
      </c>
      <c r="I172" s="318" t="s">
        <v>142</v>
      </c>
      <c r="J172" s="319">
        <f>ROUND((F172*D171/3600)*(1-I172),4)</f>
        <v>1E-4</v>
      </c>
      <c r="K172" s="319">
        <f>ROUND((F172*E171/1000000)*(1-I172),4)</f>
        <v>4.0000000000000002E-4</v>
      </c>
      <c r="L172" s="901"/>
      <c r="M172" s="860"/>
      <c r="N172" s="860"/>
      <c r="O172" s="860"/>
      <c r="P172" s="860"/>
      <c r="Q172" s="860"/>
    </row>
    <row r="173" spans="1:17" s="147" customFormat="1" ht="15" customHeight="1" x14ac:dyDescent="0.25">
      <c r="A173" s="1430"/>
      <c r="B173" s="1433"/>
      <c r="C173" s="1422"/>
      <c r="D173" s="1422"/>
      <c r="E173" s="1419"/>
      <c r="F173" s="311">
        <v>0.92</v>
      </c>
      <c r="G173" s="317" t="s">
        <v>145</v>
      </c>
      <c r="H173" s="318" t="s">
        <v>146</v>
      </c>
      <c r="I173" s="318" t="s">
        <v>142</v>
      </c>
      <c r="J173" s="319">
        <f>ROUND((F173*D171/3600)*(1-I173),5)</f>
        <v>4.0000000000000003E-5</v>
      </c>
      <c r="K173" s="319">
        <f>ROUND((F173*E171/1000000)*(1-I173),4)</f>
        <v>2.9999999999999997E-4</v>
      </c>
      <c r="L173" s="901"/>
      <c r="M173" s="860"/>
      <c r="N173" s="860"/>
      <c r="O173" s="860"/>
      <c r="P173" s="860"/>
      <c r="Q173" s="860"/>
    </row>
    <row r="174" spans="1:17" s="147" customFormat="1" ht="15" customHeight="1" x14ac:dyDescent="0.25">
      <c r="A174" s="1430"/>
      <c r="B174" s="1433"/>
      <c r="C174" s="1422"/>
      <c r="D174" s="1422"/>
      <c r="E174" s="1419"/>
      <c r="F174" s="311">
        <v>3.3</v>
      </c>
      <c r="G174" s="317" t="s">
        <v>147</v>
      </c>
      <c r="H174" s="318" t="s">
        <v>148</v>
      </c>
      <c r="I174" s="318" t="s">
        <v>142</v>
      </c>
      <c r="J174" s="319">
        <f>ROUND((F174*D171/3600)*(1-I174),4)</f>
        <v>2.0000000000000001E-4</v>
      </c>
      <c r="K174" s="319">
        <f>ROUND((F174*E171/1000000)*(1-I174),4)</f>
        <v>1E-3</v>
      </c>
      <c r="L174" s="901"/>
      <c r="M174" s="860"/>
      <c r="N174" s="860"/>
      <c r="O174" s="860"/>
      <c r="P174" s="860"/>
      <c r="Q174" s="860"/>
    </row>
    <row r="175" spans="1:17" s="147" customFormat="1" ht="15" customHeight="1" x14ac:dyDescent="0.25">
      <c r="A175" s="1430"/>
      <c r="B175" s="1433"/>
      <c r="C175" s="1422"/>
      <c r="D175" s="1422"/>
      <c r="E175" s="1419"/>
      <c r="F175" s="311">
        <v>10.69</v>
      </c>
      <c r="G175" s="317" t="s">
        <v>149</v>
      </c>
      <c r="H175" s="318" t="s">
        <v>150</v>
      </c>
      <c r="I175" s="318" t="s">
        <v>142</v>
      </c>
      <c r="J175" s="319">
        <f>ROUND((F175*D171/3600)*(1-I175),4)</f>
        <v>5.0000000000000001E-4</v>
      </c>
      <c r="K175" s="319">
        <f>ROUND((F175*E171/1000000)*(1-I175),4)</f>
        <v>3.0999999999999999E-3</v>
      </c>
      <c r="L175" s="901"/>
      <c r="M175" s="860"/>
      <c r="N175" s="860"/>
      <c r="O175" s="860"/>
      <c r="P175" s="860"/>
      <c r="Q175" s="860"/>
    </row>
    <row r="176" spans="1:17" s="147" customFormat="1" ht="15" customHeight="1" x14ac:dyDescent="0.25">
      <c r="A176" s="1430"/>
      <c r="B176" s="1433"/>
      <c r="C176" s="1422"/>
      <c r="D176" s="1422"/>
      <c r="E176" s="1419"/>
      <c r="F176" s="311">
        <v>1.4</v>
      </c>
      <c r="G176" s="322" t="s">
        <v>151</v>
      </c>
      <c r="H176" s="323">
        <v>2908</v>
      </c>
      <c r="I176" s="318" t="s">
        <v>142</v>
      </c>
      <c r="J176" s="319">
        <f>ROUND((F176*D171/3600)*(1-I176),4)</f>
        <v>1E-4</v>
      </c>
      <c r="K176" s="319">
        <f>ROUND((F176*E171/1000000)*(1-I176),4)</f>
        <v>4.0000000000000002E-4</v>
      </c>
      <c r="L176" s="901"/>
      <c r="M176" s="860"/>
      <c r="N176" s="860"/>
      <c r="O176" s="860"/>
      <c r="P176" s="860"/>
      <c r="Q176" s="860"/>
    </row>
    <row r="177" spans="1:18" s="147" customFormat="1" ht="15" customHeight="1" x14ac:dyDescent="0.25">
      <c r="A177" s="1431"/>
      <c r="B177" s="1434"/>
      <c r="C177" s="1423"/>
      <c r="D177" s="1423"/>
      <c r="E177" s="1420"/>
      <c r="F177" s="311">
        <v>13.3</v>
      </c>
      <c r="G177" s="317" t="s">
        <v>152</v>
      </c>
      <c r="H177" s="318" t="s">
        <v>153</v>
      </c>
      <c r="I177" s="318" t="s">
        <v>142</v>
      </c>
      <c r="J177" s="319">
        <f>ROUND((F177*D171/3600)*(1-I177),4)</f>
        <v>5.9999999999999995E-4</v>
      </c>
      <c r="K177" s="319">
        <f>ROUND((F177*E171/1000000)*(1-I177),4)</f>
        <v>3.8999999999999998E-3</v>
      </c>
      <c r="L177" s="901">
        <f>SUM(J171:J177)</f>
        <v>1.5799999999999998E-3</v>
      </c>
      <c r="M177" s="901">
        <f>SUM(K171:K177)</f>
        <v>9.2999999999999992E-3</v>
      </c>
      <c r="N177" s="925"/>
      <c r="O177" s="860"/>
      <c r="P177" s="860"/>
      <c r="Q177" s="860"/>
    </row>
    <row r="178" spans="1:18" ht="15" customHeight="1" x14ac:dyDescent="0.25">
      <c r="A178" s="1411" t="s">
        <v>260</v>
      </c>
      <c r="B178" s="1411"/>
      <c r="C178" s="1411"/>
      <c r="D178" s="1411"/>
      <c r="E178" s="1411"/>
      <c r="F178" s="1411"/>
      <c r="G178" s="1411"/>
      <c r="H178" s="1411"/>
      <c r="I178" s="1411"/>
      <c r="J178" s="1411"/>
      <c r="K178" s="1411"/>
      <c r="L178" s="108"/>
      <c r="M178" s="4"/>
      <c r="N178" s="4"/>
      <c r="O178" s="4"/>
      <c r="P178" s="5"/>
      <c r="Q178" s="5"/>
    </row>
    <row r="179" spans="1:18" ht="15" customHeight="1" x14ac:dyDescent="0.25">
      <c r="A179" s="1412" t="s">
        <v>461</v>
      </c>
      <c r="B179" s="1415" t="s">
        <v>138</v>
      </c>
      <c r="C179" s="1418" t="s">
        <v>139</v>
      </c>
      <c r="D179" s="1418">
        <v>8.73</v>
      </c>
      <c r="E179" s="1418">
        <v>748.3</v>
      </c>
      <c r="F179" s="7">
        <v>0.75</v>
      </c>
      <c r="G179" s="203" t="s">
        <v>140</v>
      </c>
      <c r="H179" s="204" t="s">
        <v>141</v>
      </c>
      <c r="I179" s="204" t="s">
        <v>142</v>
      </c>
      <c r="J179" s="202">
        <f>ROUND(F179*D179/3600,4)</f>
        <v>1.8E-3</v>
      </c>
      <c r="K179" s="202">
        <f>ROUND(F179*E179/1000000,4)</f>
        <v>5.9999999999999995E-4</v>
      </c>
      <c r="L179" s="25"/>
      <c r="M179" s="5"/>
      <c r="N179" s="5"/>
      <c r="O179" s="5"/>
      <c r="P179" s="5"/>
      <c r="Q179" s="5"/>
      <c r="R179" s="1"/>
    </row>
    <row r="180" spans="1:18" ht="15" customHeight="1" x14ac:dyDescent="0.25">
      <c r="A180" s="1413"/>
      <c r="B180" s="1416"/>
      <c r="C180" s="1419"/>
      <c r="D180" s="1419"/>
      <c r="E180" s="1419"/>
      <c r="F180" s="7">
        <v>1.5</v>
      </c>
      <c r="G180" s="206" t="s">
        <v>143</v>
      </c>
      <c r="H180" s="205" t="s">
        <v>144</v>
      </c>
      <c r="I180" s="204" t="s">
        <v>142</v>
      </c>
      <c r="J180" s="202">
        <f>ROUND((F180*D179/3600)*(1-I180),4)</f>
        <v>3.5999999999999999E-3</v>
      </c>
      <c r="K180" s="202">
        <f>ROUND((F180*E179/1000000)*(1-I180),4)</f>
        <v>1.1000000000000001E-3</v>
      </c>
      <c r="L180" s="25"/>
      <c r="M180" s="5"/>
      <c r="N180" s="5"/>
      <c r="O180" s="5"/>
      <c r="P180" s="5"/>
      <c r="Q180" s="5"/>
      <c r="R180" s="1"/>
    </row>
    <row r="181" spans="1:18" ht="15" customHeight="1" x14ac:dyDescent="0.25">
      <c r="A181" s="1413"/>
      <c r="B181" s="1416"/>
      <c r="C181" s="1419"/>
      <c r="D181" s="1419"/>
      <c r="E181" s="1419"/>
      <c r="F181" s="7">
        <v>0.92</v>
      </c>
      <c r="G181" s="203" t="s">
        <v>145</v>
      </c>
      <c r="H181" s="204" t="s">
        <v>146</v>
      </c>
      <c r="I181" s="204" t="s">
        <v>142</v>
      </c>
      <c r="J181" s="202">
        <f>ROUND((F181*D179/3600)*(1-I181),4)</f>
        <v>2.2000000000000001E-3</v>
      </c>
      <c r="K181" s="202">
        <f>ROUND((F181*E179/1000000)*(1-I181),4)</f>
        <v>6.9999999999999999E-4</v>
      </c>
      <c r="L181" s="25"/>
      <c r="M181" s="5"/>
      <c r="N181" s="5"/>
      <c r="O181" s="5"/>
      <c r="P181" s="5"/>
      <c r="Q181" s="5"/>
      <c r="R181" s="1"/>
    </row>
    <row r="182" spans="1:18" ht="15" customHeight="1" x14ac:dyDescent="0.25">
      <c r="A182" s="1413"/>
      <c r="B182" s="1416"/>
      <c r="C182" s="1419"/>
      <c r="D182" s="1419"/>
      <c r="E182" s="1419"/>
      <c r="F182" s="7">
        <v>3.3</v>
      </c>
      <c r="G182" s="203" t="s">
        <v>147</v>
      </c>
      <c r="H182" s="204" t="s">
        <v>148</v>
      </c>
      <c r="I182" s="204" t="s">
        <v>142</v>
      </c>
      <c r="J182" s="202">
        <f>ROUND((F182*D179/3600)*(1-I182),4)</f>
        <v>8.0000000000000002E-3</v>
      </c>
      <c r="K182" s="202">
        <f>ROUND((F182*E179/1000000)*(1-I182),4)</f>
        <v>2.5000000000000001E-3</v>
      </c>
      <c r="L182" s="25"/>
      <c r="M182" s="5"/>
      <c r="N182" s="5"/>
      <c r="O182" s="5"/>
      <c r="P182" s="5"/>
      <c r="Q182" s="5"/>
      <c r="R182" s="1"/>
    </row>
    <row r="183" spans="1:18" ht="15" customHeight="1" x14ac:dyDescent="0.25">
      <c r="A183" s="1413"/>
      <c r="B183" s="1416"/>
      <c r="C183" s="1419"/>
      <c r="D183" s="1419"/>
      <c r="E183" s="1419"/>
      <c r="F183" s="7">
        <v>10.69</v>
      </c>
      <c r="G183" s="203" t="s">
        <v>149</v>
      </c>
      <c r="H183" s="204" t="s">
        <v>150</v>
      </c>
      <c r="I183" s="204" t="s">
        <v>142</v>
      </c>
      <c r="J183" s="202">
        <f>ROUND((F183*D179/3600)*(1-I183),4)</f>
        <v>2.5899999999999999E-2</v>
      </c>
      <c r="K183" s="202">
        <f>ROUND((F183*E179/1000000)*(1-I183),4)</f>
        <v>8.0000000000000002E-3</v>
      </c>
      <c r="L183" s="25"/>
      <c r="M183" s="5"/>
      <c r="N183" s="5"/>
      <c r="O183" s="5"/>
      <c r="P183" s="5"/>
      <c r="Q183" s="5"/>
      <c r="R183" s="1"/>
    </row>
    <row r="184" spans="1:18" ht="15" customHeight="1" x14ac:dyDescent="0.25">
      <c r="A184" s="1413"/>
      <c r="B184" s="1416"/>
      <c r="C184" s="1419"/>
      <c r="D184" s="1419"/>
      <c r="E184" s="1419"/>
      <c r="F184" s="7">
        <v>1.4</v>
      </c>
      <c r="G184" s="207" t="s">
        <v>151</v>
      </c>
      <c r="H184" s="23">
        <v>2908</v>
      </c>
      <c r="I184" s="204" t="s">
        <v>142</v>
      </c>
      <c r="J184" s="202">
        <f>ROUND((F184*D179/3600)*(1-I184),4)</f>
        <v>3.3999999999999998E-3</v>
      </c>
      <c r="K184" s="202">
        <f>ROUND((F184*E179/1000000)*(1-I184),4)</f>
        <v>1E-3</v>
      </c>
      <c r="L184" s="25"/>
      <c r="M184" s="5"/>
      <c r="N184" s="5"/>
      <c r="O184" s="5"/>
      <c r="P184" s="5"/>
      <c r="Q184" s="5"/>
      <c r="R184" s="1"/>
    </row>
    <row r="185" spans="1:18" ht="15" customHeight="1" x14ac:dyDescent="0.25">
      <c r="A185" s="1414"/>
      <c r="B185" s="1417"/>
      <c r="C185" s="1420"/>
      <c r="D185" s="1420"/>
      <c r="E185" s="1420"/>
      <c r="F185" s="7">
        <v>13.3</v>
      </c>
      <c r="G185" s="203" t="s">
        <v>152</v>
      </c>
      <c r="H185" s="204" t="s">
        <v>153</v>
      </c>
      <c r="I185" s="204" t="s">
        <v>142</v>
      </c>
      <c r="J185" s="202">
        <f>ROUND((F185*D179/3600)*(1-I185),4)</f>
        <v>3.2300000000000002E-2</v>
      </c>
      <c r="K185" s="202">
        <f>ROUND((F185*E179/1000000)*(1-I185),4)</f>
        <v>0.01</v>
      </c>
      <c r="L185" s="25">
        <f>SUM(J179:J185)</f>
        <v>7.7200000000000005E-2</v>
      </c>
      <c r="M185" s="25">
        <f>SUM(K179:K185)</f>
        <v>2.3899999999999998E-2</v>
      </c>
      <c r="N185" s="924"/>
      <c r="O185" s="5"/>
      <c r="P185" s="5"/>
      <c r="Q185" s="5"/>
      <c r="R185" s="1"/>
    </row>
    <row r="186" spans="1:18" ht="15" customHeight="1" x14ac:dyDescent="0.25">
      <c r="A186" s="1411" t="s">
        <v>264</v>
      </c>
      <c r="B186" s="1411"/>
      <c r="C186" s="1411"/>
      <c r="D186" s="1411"/>
      <c r="E186" s="1411"/>
      <c r="F186" s="1411"/>
      <c r="G186" s="1411"/>
      <c r="H186" s="1411"/>
      <c r="I186" s="1411"/>
      <c r="J186" s="1411"/>
      <c r="K186" s="1411"/>
      <c r="L186" s="108"/>
      <c r="M186" s="4"/>
      <c r="N186" s="4"/>
      <c r="O186" s="4"/>
      <c r="P186" s="5"/>
      <c r="Q186" s="5"/>
      <c r="R186" s="1"/>
    </row>
    <row r="187" spans="1:18" ht="15" customHeight="1" x14ac:dyDescent="0.25">
      <c r="A187" s="1412" t="s">
        <v>477</v>
      </c>
      <c r="B187" s="1415" t="s">
        <v>138</v>
      </c>
      <c r="C187" s="1418" t="s">
        <v>139</v>
      </c>
      <c r="D187" s="1418">
        <v>14.03</v>
      </c>
      <c r="E187" s="1418">
        <v>8022.9</v>
      </c>
      <c r="F187" s="7">
        <v>0.75</v>
      </c>
      <c r="G187" s="203" t="s">
        <v>140</v>
      </c>
      <c r="H187" s="204" t="s">
        <v>141</v>
      </c>
      <c r="I187" s="204" t="s">
        <v>142</v>
      </c>
      <c r="J187" s="202">
        <f>ROUND(F187*D187/3600,4)</f>
        <v>2.8999999999999998E-3</v>
      </c>
      <c r="K187" s="202">
        <f>ROUND(F187*E187/1000000,4)</f>
        <v>6.0000000000000001E-3</v>
      </c>
      <c r="L187" s="25"/>
      <c r="M187" s="5"/>
      <c r="N187" s="5"/>
      <c r="O187" s="5"/>
      <c r="P187" s="5"/>
      <c r="Q187" s="5"/>
      <c r="R187" s="1"/>
    </row>
    <row r="188" spans="1:18" ht="15" customHeight="1" x14ac:dyDescent="0.25">
      <c r="A188" s="1413"/>
      <c r="B188" s="1416"/>
      <c r="C188" s="1419"/>
      <c r="D188" s="1419"/>
      <c r="E188" s="1419"/>
      <c r="F188" s="7">
        <v>1.5</v>
      </c>
      <c r="G188" s="206" t="s">
        <v>143</v>
      </c>
      <c r="H188" s="205" t="s">
        <v>144</v>
      </c>
      <c r="I188" s="204" t="s">
        <v>142</v>
      </c>
      <c r="J188" s="202">
        <f>ROUND((F188*D187/3600)*(1-I188),4)</f>
        <v>5.7999999999999996E-3</v>
      </c>
      <c r="K188" s="202">
        <f>ROUND((F188*E187/1000000)*(1-I188),4)</f>
        <v>1.2E-2</v>
      </c>
      <c r="L188" s="25"/>
      <c r="M188" s="5"/>
      <c r="N188" s="5"/>
      <c r="O188" s="5"/>
      <c r="P188" s="5"/>
      <c r="Q188" s="5"/>
      <c r="R188" s="1"/>
    </row>
    <row r="189" spans="1:18" ht="15" customHeight="1" x14ac:dyDescent="0.25">
      <c r="A189" s="1413"/>
      <c r="B189" s="1416"/>
      <c r="C189" s="1419"/>
      <c r="D189" s="1419"/>
      <c r="E189" s="1419"/>
      <c r="F189" s="7">
        <v>0.92</v>
      </c>
      <c r="G189" s="203" t="s">
        <v>145</v>
      </c>
      <c r="H189" s="204" t="s">
        <v>146</v>
      </c>
      <c r="I189" s="204" t="s">
        <v>142</v>
      </c>
      <c r="J189" s="202">
        <f>ROUND((F189*D187/3600)*(1-I189),4)</f>
        <v>3.5999999999999999E-3</v>
      </c>
      <c r="K189" s="202">
        <f>ROUND((F189*E187/1000000)*(1-I189),4)</f>
        <v>7.4000000000000003E-3</v>
      </c>
      <c r="L189" s="25"/>
      <c r="M189" s="5"/>
      <c r="N189" s="5"/>
      <c r="O189" s="5"/>
      <c r="P189" s="5"/>
      <c r="Q189" s="5"/>
      <c r="R189" s="1"/>
    </row>
    <row r="190" spans="1:18" ht="15" customHeight="1" x14ac:dyDescent="0.25">
      <c r="A190" s="1413"/>
      <c r="B190" s="1416"/>
      <c r="C190" s="1419"/>
      <c r="D190" s="1419"/>
      <c r="E190" s="1419"/>
      <c r="F190" s="7">
        <v>3.3</v>
      </c>
      <c r="G190" s="203" t="s">
        <v>147</v>
      </c>
      <c r="H190" s="204" t="s">
        <v>148</v>
      </c>
      <c r="I190" s="204" t="s">
        <v>142</v>
      </c>
      <c r="J190" s="202">
        <f>ROUND((F190*D187/3600)*(1-I190),4)</f>
        <v>1.29E-2</v>
      </c>
      <c r="K190" s="202">
        <f>ROUND((F190*E187/1000000)*(1-I190),4)</f>
        <v>2.6499999999999999E-2</v>
      </c>
      <c r="L190" s="25"/>
      <c r="M190" s="5"/>
      <c r="N190" s="5"/>
      <c r="O190" s="5"/>
      <c r="P190" s="5"/>
      <c r="Q190" s="5"/>
      <c r="R190" s="1"/>
    </row>
    <row r="191" spans="1:18" ht="15" customHeight="1" x14ac:dyDescent="0.25">
      <c r="A191" s="1413"/>
      <c r="B191" s="1416"/>
      <c r="C191" s="1419"/>
      <c r="D191" s="1419"/>
      <c r="E191" s="1419"/>
      <c r="F191" s="7">
        <v>10.69</v>
      </c>
      <c r="G191" s="203" t="s">
        <v>149</v>
      </c>
      <c r="H191" s="204" t="s">
        <v>150</v>
      </c>
      <c r="I191" s="204" t="s">
        <v>142</v>
      </c>
      <c r="J191" s="202">
        <f>ROUND((F191*D187/3600)*(1-I191),4)</f>
        <v>4.1700000000000001E-2</v>
      </c>
      <c r="K191" s="202">
        <f>ROUND((F191*E187/1000000)*(1-I191),4)</f>
        <v>8.5800000000000001E-2</v>
      </c>
      <c r="L191" s="25"/>
      <c r="M191" s="5"/>
      <c r="N191" s="5"/>
      <c r="O191" s="5"/>
      <c r="P191" s="5"/>
      <c r="Q191" s="5"/>
      <c r="R191" s="1"/>
    </row>
    <row r="192" spans="1:18" ht="15" customHeight="1" x14ac:dyDescent="0.25">
      <c r="A192" s="1413"/>
      <c r="B192" s="1416"/>
      <c r="C192" s="1419"/>
      <c r="D192" s="1419"/>
      <c r="E192" s="1419"/>
      <c r="F192" s="7">
        <v>1.4</v>
      </c>
      <c r="G192" s="207" t="s">
        <v>151</v>
      </c>
      <c r="H192" s="23">
        <v>2908</v>
      </c>
      <c r="I192" s="204" t="s">
        <v>142</v>
      </c>
      <c r="J192" s="202">
        <f>ROUND((F192*D187/3600)*(1-I192),4)</f>
        <v>5.4999999999999997E-3</v>
      </c>
      <c r="K192" s="202">
        <f>ROUND((F192*E187/1000000)*(1-I192),4)</f>
        <v>1.12E-2</v>
      </c>
      <c r="L192" s="25"/>
      <c r="M192" s="5"/>
      <c r="N192" s="5"/>
      <c r="O192" s="5"/>
      <c r="P192" s="5"/>
      <c r="Q192" s="5"/>
      <c r="R192" s="1"/>
    </row>
    <row r="193" spans="1:18" ht="15" customHeight="1" x14ac:dyDescent="0.25">
      <c r="A193" s="1414"/>
      <c r="B193" s="1417"/>
      <c r="C193" s="1420"/>
      <c r="D193" s="1420"/>
      <c r="E193" s="1420"/>
      <c r="F193" s="7">
        <v>13.3</v>
      </c>
      <c r="G193" s="203" t="s">
        <v>152</v>
      </c>
      <c r="H193" s="204" t="s">
        <v>153</v>
      </c>
      <c r="I193" s="204" t="s">
        <v>142</v>
      </c>
      <c r="J193" s="202">
        <f>ROUND((F193*D187/3600)*(1-I193),4)</f>
        <v>5.1799999999999999E-2</v>
      </c>
      <c r="K193" s="202">
        <f>ROUND((F193*E187/1000000)*(1-I193),4)</f>
        <v>0.1067</v>
      </c>
      <c r="L193" s="25">
        <f>SUM(J187:J193)</f>
        <v>0.1242</v>
      </c>
      <c r="M193" s="25">
        <f>SUM(K187:K193)</f>
        <v>0.25559999999999999</v>
      </c>
      <c r="N193" s="924"/>
      <c r="O193" s="5"/>
      <c r="P193" s="5"/>
      <c r="Q193" s="5"/>
      <c r="R193" s="1"/>
    </row>
    <row r="194" spans="1:18" ht="15" customHeight="1" x14ac:dyDescent="0.25">
      <c r="A194" s="1411" t="s">
        <v>276</v>
      </c>
      <c r="B194" s="1411"/>
      <c r="C194" s="1411"/>
      <c r="D194" s="1411"/>
      <c r="E194" s="1411"/>
      <c r="F194" s="1411"/>
      <c r="G194" s="1411"/>
      <c r="H194" s="1411"/>
      <c r="I194" s="1411"/>
      <c r="J194" s="1411"/>
      <c r="K194" s="1411"/>
      <c r="L194" s="108"/>
      <c r="M194" s="4"/>
      <c r="N194" s="4"/>
      <c r="O194" s="4"/>
      <c r="P194" s="5"/>
      <c r="Q194" s="5"/>
      <c r="R194" s="1"/>
    </row>
    <row r="195" spans="1:18" ht="15" customHeight="1" x14ac:dyDescent="0.25">
      <c r="A195" s="1412" t="s">
        <v>487</v>
      </c>
      <c r="B195" s="1415" t="s">
        <v>138</v>
      </c>
      <c r="C195" s="1418" t="s">
        <v>139</v>
      </c>
      <c r="D195" s="1418">
        <v>9.2200000000000006</v>
      </c>
      <c r="E195" s="1418">
        <v>3956.6</v>
      </c>
      <c r="F195" s="7">
        <v>0.75</v>
      </c>
      <c r="G195" s="203" t="s">
        <v>140</v>
      </c>
      <c r="H195" s="204" t="s">
        <v>141</v>
      </c>
      <c r="I195" s="204" t="s">
        <v>142</v>
      </c>
      <c r="J195" s="202">
        <f>ROUND(F195*D195/3600,4)</f>
        <v>1.9E-3</v>
      </c>
      <c r="K195" s="202">
        <f>ROUND(F195*E195/1000000,4)</f>
        <v>3.0000000000000001E-3</v>
      </c>
      <c r="L195" s="25"/>
      <c r="M195" s="5"/>
      <c r="N195" s="5"/>
      <c r="O195" s="5"/>
      <c r="P195" s="5"/>
      <c r="Q195" s="5"/>
      <c r="R195" s="1"/>
    </row>
    <row r="196" spans="1:18" ht="15" customHeight="1" x14ac:dyDescent="0.25">
      <c r="A196" s="1413"/>
      <c r="B196" s="1416"/>
      <c r="C196" s="1419"/>
      <c r="D196" s="1419"/>
      <c r="E196" s="1419"/>
      <c r="F196" s="7">
        <v>1.5</v>
      </c>
      <c r="G196" s="206" t="s">
        <v>143</v>
      </c>
      <c r="H196" s="205" t="s">
        <v>144</v>
      </c>
      <c r="I196" s="204" t="s">
        <v>142</v>
      </c>
      <c r="J196" s="202">
        <f>ROUND((F196*D195/3600)*(1-I196),4)</f>
        <v>3.8E-3</v>
      </c>
      <c r="K196" s="202">
        <f>ROUND((F196*E195/1000000)*(1-I196),4)</f>
        <v>5.8999999999999999E-3</v>
      </c>
      <c r="L196" s="25"/>
      <c r="M196" s="5"/>
      <c r="N196" s="5"/>
      <c r="O196" s="5"/>
      <c r="P196" s="5"/>
      <c r="Q196" s="5"/>
      <c r="R196" s="1"/>
    </row>
    <row r="197" spans="1:18" ht="15" customHeight="1" x14ac:dyDescent="0.25">
      <c r="A197" s="1413"/>
      <c r="B197" s="1416"/>
      <c r="C197" s="1419"/>
      <c r="D197" s="1419"/>
      <c r="E197" s="1419"/>
      <c r="F197" s="7">
        <v>0.92</v>
      </c>
      <c r="G197" s="203" t="s">
        <v>145</v>
      </c>
      <c r="H197" s="204" t="s">
        <v>146</v>
      </c>
      <c r="I197" s="204" t="s">
        <v>142</v>
      </c>
      <c r="J197" s="202">
        <f>ROUND((F197*D195/3600)*(1-I197),4)</f>
        <v>2.3999999999999998E-3</v>
      </c>
      <c r="K197" s="202">
        <f>ROUND((F197*E195/1000000)*(1-I197),4)</f>
        <v>3.5999999999999999E-3</v>
      </c>
      <c r="L197" s="25"/>
      <c r="M197" s="5"/>
      <c r="N197" s="5"/>
      <c r="O197" s="5"/>
      <c r="P197" s="5"/>
      <c r="Q197" s="5"/>
      <c r="R197" s="1"/>
    </row>
    <row r="198" spans="1:18" ht="15" customHeight="1" x14ac:dyDescent="0.25">
      <c r="A198" s="1413"/>
      <c r="B198" s="1416"/>
      <c r="C198" s="1419"/>
      <c r="D198" s="1419"/>
      <c r="E198" s="1419"/>
      <c r="F198" s="7">
        <v>3.3</v>
      </c>
      <c r="G198" s="203" t="s">
        <v>147</v>
      </c>
      <c r="H198" s="204" t="s">
        <v>148</v>
      </c>
      <c r="I198" s="204" t="s">
        <v>142</v>
      </c>
      <c r="J198" s="202">
        <f>ROUND((F198*D195/3600)*(1-I198),4)</f>
        <v>8.5000000000000006E-3</v>
      </c>
      <c r="K198" s="202">
        <f>ROUND((F198*E195/1000000)*(1-I198),4)</f>
        <v>1.3100000000000001E-2</v>
      </c>
      <c r="L198" s="25"/>
      <c r="M198" s="5"/>
      <c r="N198" s="5"/>
      <c r="O198" s="5"/>
      <c r="P198" s="5"/>
      <c r="Q198" s="5"/>
      <c r="R198" s="1"/>
    </row>
    <row r="199" spans="1:18" ht="15" customHeight="1" x14ac:dyDescent="0.25">
      <c r="A199" s="1413"/>
      <c r="B199" s="1416"/>
      <c r="C199" s="1419"/>
      <c r="D199" s="1419"/>
      <c r="E199" s="1419"/>
      <c r="F199" s="7">
        <v>10.69</v>
      </c>
      <c r="G199" s="203" t="s">
        <v>149</v>
      </c>
      <c r="H199" s="204" t="s">
        <v>150</v>
      </c>
      <c r="I199" s="204" t="s">
        <v>142</v>
      </c>
      <c r="J199" s="202">
        <f>ROUND((F199*D195/3600)*(1-I199),4)</f>
        <v>2.7400000000000001E-2</v>
      </c>
      <c r="K199" s="202">
        <f>ROUND((F199*E195/1000000)*(1-I199),4)</f>
        <v>4.2299999999999997E-2</v>
      </c>
      <c r="L199" s="25"/>
      <c r="M199" s="5"/>
      <c r="N199" s="5"/>
      <c r="O199" s="5"/>
      <c r="P199" s="5"/>
      <c r="Q199" s="5"/>
      <c r="R199" s="1"/>
    </row>
    <row r="200" spans="1:18" ht="15" customHeight="1" x14ac:dyDescent="0.25">
      <c r="A200" s="1413"/>
      <c r="B200" s="1416"/>
      <c r="C200" s="1419"/>
      <c r="D200" s="1419"/>
      <c r="E200" s="1419"/>
      <c r="F200" s="7">
        <v>1.4</v>
      </c>
      <c r="G200" s="207" t="s">
        <v>151</v>
      </c>
      <c r="H200" s="23">
        <v>2908</v>
      </c>
      <c r="I200" s="204" t="s">
        <v>142</v>
      </c>
      <c r="J200" s="202">
        <f>ROUND((F200*D195/3600)*(1-I200),4)</f>
        <v>3.5999999999999999E-3</v>
      </c>
      <c r="K200" s="202">
        <f>ROUND((F200*E195/1000000)*(1-I200),4)</f>
        <v>5.4999999999999997E-3</v>
      </c>
      <c r="L200" s="25"/>
      <c r="M200" s="5"/>
      <c r="N200" s="5"/>
      <c r="O200" s="5"/>
      <c r="P200" s="5"/>
      <c r="Q200" s="5"/>
      <c r="R200" s="1"/>
    </row>
    <row r="201" spans="1:18" ht="15" customHeight="1" x14ac:dyDescent="0.25">
      <c r="A201" s="1414"/>
      <c r="B201" s="1417"/>
      <c r="C201" s="1420"/>
      <c r="D201" s="1420"/>
      <c r="E201" s="1420"/>
      <c r="F201" s="7">
        <v>13.3</v>
      </c>
      <c r="G201" s="203" t="s">
        <v>152</v>
      </c>
      <c r="H201" s="204" t="s">
        <v>153</v>
      </c>
      <c r="I201" s="204" t="s">
        <v>142</v>
      </c>
      <c r="J201" s="202">
        <f>ROUND((F201*D195/3600)*(1-I201),4)</f>
        <v>3.4099999999999998E-2</v>
      </c>
      <c r="K201" s="202">
        <f>ROUND((F201*E195/1000000)*(1-I201),4)</f>
        <v>5.2600000000000001E-2</v>
      </c>
      <c r="L201" s="25">
        <f>SUM(J195:J201)</f>
        <v>8.1699999999999995E-2</v>
      </c>
      <c r="M201" s="25">
        <f>SUM(K195:K201)</f>
        <v>0.126</v>
      </c>
      <c r="N201" s="924"/>
      <c r="O201" s="5"/>
      <c r="P201" s="5"/>
      <c r="Q201" s="5"/>
      <c r="R201" s="1"/>
    </row>
    <row r="202" spans="1:18" ht="15" customHeight="1" x14ac:dyDescent="0.25">
      <c r="A202" s="1411" t="s">
        <v>284</v>
      </c>
      <c r="B202" s="1411"/>
      <c r="C202" s="1411"/>
      <c r="D202" s="1411"/>
      <c r="E202" s="1411"/>
      <c r="F202" s="1411"/>
      <c r="G202" s="1411"/>
      <c r="H202" s="1411"/>
      <c r="I202" s="1411"/>
      <c r="J202" s="1411"/>
      <c r="K202" s="1411"/>
      <c r="L202" s="109"/>
      <c r="M202" s="4"/>
      <c r="N202" s="4"/>
      <c r="O202" s="4"/>
      <c r="P202" s="5"/>
      <c r="Q202" s="5"/>
      <c r="R202" s="1"/>
    </row>
    <row r="203" spans="1:18" ht="15" customHeight="1" x14ac:dyDescent="0.25">
      <c r="A203" s="1412" t="s">
        <v>498</v>
      </c>
      <c r="B203" s="1415" t="s">
        <v>138</v>
      </c>
      <c r="C203" s="1418" t="s">
        <v>139</v>
      </c>
      <c r="D203" s="1418">
        <v>9.3699999999999992</v>
      </c>
      <c r="E203" s="1418">
        <v>13392.7</v>
      </c>
      <c r="F203" s="7">
        <v>0.75</v>
      </c>
      <c r="G203" s="203" t="s">
        <v>140</v>
      </c>
      <c r="H203" s="204" t="s">
        <v>141</v>
      </c>
      <c r="I203" s="204" t="s">
        <v>142</v>
      </c>
      <c r="J203" s="202">
        <f>ROUND(F203*D203/3600,4)</f>
        <v>2E-3</v>
      </c>
      <c r="K203" s="202">
        <f>ROUND(F203*E203/1000000,4)</f>
        <v>0.01</v>
      </c>
      <c r="L203" s="25"/>
      <c r="M203" s="5"/>
      <c r="N203" s="5"/>
      <c r="O203" s="5"/>
      <c r="P203" s="5"/>
      <c r="Q203" s="5"/>
      <c r="R203" s="1"/>
    </row>
    <row r="204" spans="1:18" ht="15" customHeight="1" x14ac:dyDescent="0.25">
      <c r="A204" s="1413"/>
      <c r="B204" s="1416"/>
      <c r="C204" s="1419"/>
      <c r="D204" s="1419"/>
      <c r="E204" s="1419"/>
      <c r="F204" s="7">
        <v>1.5</v>
      </c>
      <c r="G204" s="206" t="s">
        <v>143</v>
      </c>
      <c r="H204" s="205" t="s">
        <v>144</v>
      </c>
      <c r="I204" s="204" t="s">
        <v>142</v>
      </c>
      <c r="J204" s="202">
        <f>ROUND((F204*D203/3600)*(1-I204),4)</f>
        <v>3.8999999999999998E-3</v>
      </c>
      <c r="K204" s="202">
        <f>ROUND((F204*E203/1000000)*(1-I204),4)</f>
        <v>2.01E-2</v>
      </c>
      <c r="L204" s="25"/>
      <c r="M204" s="5"/>
      <c r="N204" s="5"/>
      <c r="O204" s="5"/>
      <c r="P204" s="5"/>
      <c r="Q204" s="5"/>
      <c r="R204" s="1"/>
    </row>
    <row r="205" spans="1:18" ht="15" customHeight="1" x14ac:dyDescent="0.25">
      <c r="A205" s="1413"/>
      <c r="B205" s="1416"/>
      <c r="C205" s="1419"/>
      <c r="D205" s="1419"/>
      <c r="E205" s="1419"/>
      <c r="F205" s="7">
        <v>0.92</v>
      </c>
      <c r="G205" s="203" t="s">
        <v>145</v>
      </c>
      <c r="H205" s="204" t="s">
        <v>146</v>
      </c>
      <c r="I205" s="204" t="s">
        <v>142</v>
      </c>
      <c r="J205" s="202">
        <f>ROUND((F205*D203/3600)*(1-I205),4)</f>
        <v>2.3999999999999998E-3</v>
      </c>
      <c r="K205" s="202">
        <f>ROUND((F205*E203/1000000)*(1-I205),4)</f>
        <v>1.23E-2</v>
      </c>
      <c r="L205" s="25"/>
      <c r="M205" s="5"/>
      <c r="N205" s="5"/>
      <c r="O205" s="5"/>
      <c r="P205" s="5"/>
      <c r="Q205" s="5"/>
      <c r="R205" s="1"/>
    </row>
    <row r="206" spans="1:18" ht="15" customHeight="1" x14ac:dyDescent="0.25">
      <c r="A206" s="1413"/>
      <c r="B206" s="1416"/>
      <c r="C206" s="1419"/>
      <c r="D206" s="1419"/>
      <c r="E206" s="1419"/>
      <c r="F206" s="7">
        <v>3.3</v>
      </c>
      <c r="G206" s="203" t="s">
        <v>147</v>
      </c>
      <c r="H206" s="204" t="s">
        <v>148</v>
      </c>
      <c r="I206" s="204" t="s">
        <v>142</v>
      </c>
      <c r="J206" s="202">
        <f>ROUND((F206*D203/3600)*(1-I206),4)</f>
        <v>8.6E-3</v>
      </c>
      <c r="K206" s="202">
        <f>ROUND((F206*E203/1000000)*(1-I206),4)</f>
        <v>4.4200000000000003E-2</v>
      </c>
      <c r="L206" s="25"/>
      <c r="M206" s="5"/>
      <c r="N206" s="5"/>
      <c r="O206" s="5"/>
      <c r="P206" s="5"/>
      <c r="Q206" s="5"/>
    </row>
    <row r="207" spans="1:18" ht="15" customHeight="1" x14ac:dyDescent="0.25">
      <c r="A207" s="1413"/>
      <c r="B207" s="1416"/>
      <c r="C207" s="1419"/>
      <c r="D207" s="1419"/>
      <c r="E207" s="1419"/>
      <c r="F207" s="7">
        <v>10.69</v>
      </c>
      <c r="G207" s="203" t="s">
        <v>149</v>
      </c>
      <c r="H207" s="204" t="s">
        <v>150</v>
      </c>
      <c r="I207" s="204" t="s">
        <v>142</v>
      </c>
      <c r="J207" s="202">
        <f>ROUND((F207*D203/3600)*(1-I207),4)</f>
        <v>2.7799999999999998E-2</v>
      </c>
      <c r="K207" s="202">
        <f>ROUND((F207*E203/1000000)*(1-I207),4)</f>
        <v>0.14319999999999999</v>
      </c>
      <c r="L207" s="25"/>
      <c r="M207" s="5"/>
      <c r="N207" s="5"/>
      <c r="O207" s="5"/>
      <c r="P207" s="5"/>
      <c r="Q207" s="5"/>
    </row>
    <row r="208" spans="1:18" ht="15" customHeight="1" x14ac:dyDescent="0.25">
      <c r="A208" s="1413"/>
      <c r="B208" s="1416"/>
      <c r="C208" s="1419"/>
      <c r="D208" s="1419"/>
      <c r="E208" s="1419"/>
      <c r="F208" s="7">
        <v>1.4</v>
      </c>
      <c r="G208" s="207" t="s">
        <v>151</v>
      </c>
      <c r="H208" s="23">
        <v>2908</v>
      </c>
      <c r="I208" s="204" t="s">
        <v>142</v>
      </c>
      <c r="J208" s="202">
        <f>ROUND((F208*D203/3600)*(1-I208),4)</f>
        <v>3.5999999999999999E-3</v>
      </c>
      <c r="K208" s="202">
        <f>ROUND((F208*E203/1000000)*(1-I208),4)</f>
        <v>1.8700000000000001E-2</v>
      </c>
      <c r="L208" s="25"/>
      <c r="M208" s="5"/>
      <c r="N208" s="5"/>
      <c r="O208" s="5"/>
      <c r="P208" s="5"/>
      <c r="Q208" s="5"/>
    </row>
    <row r="209" spans="1:17" ht="15" customHeight="1" x14ac:dyDescent="0.25">
      <c r="A209" s="1414"/>
      <c r="B209" s="1417"/>
      <c r="C209" s="1420"/>
      <c r="D209" s="1420"/>
      <c r="E209" s="1420"/>
      <c r="F209" s="7">
        <v>13.3</v>
      </c>
      <c r="G209" s="203" t="s">
        <v>152</v>
      </c>
      <c r="H209" s="204" t="s">
        <v>153</v>
      </c>
      <c r="I209" s="204" t="s">
        <v>142</v>
      </c>
      <c r="J209" s="202">
        <f>ROUND((F209*D203/3600)*(1-I209),4)</f>
        <v>3.4599999999999999E-2</v>
      </c>
      <c r="K209" s="202">
        <f>ROUND((F209*E203/1000000)*(1-I209),4)</f>
        <v>0.17810000000000001</v>
      </c>
      <c r="L209" s="25">
        <f>SUM(J203:J209)</f>
        <v>8.2900000000000001E-2</v>
      </c>
      <c r="M209" s="25">
        <f>SUM(K203:K209)</f>
        <v>0.42659999999999998</v>
      </c>
      <c r="N209" s="924"/>
      <c r="O209" s="5"/>
      <c r="P209" s="5"/>
      <c r="Q209" s="5"/>
    </row>
    <row r="210" spans="1:17" ht="15" customHeight="1" x14ac:dyDescent="0.25">
      <c r="A210" s="1411" t="s">
        <v>288</v>
      </c>
      <c r="B210" s="1411"/>
      <c r="C210" s="1411"/>
      <c r="D210" s="1411"/>
      <c r="E210" s="1411"/>
      <c r="F210" s="1411"/>
      <c r="G210" s="1411"/>
      <c r="H210" s="1411"/>
      <c r="I210" s="1411"/>
      <c r="J210" s="1411"/>
      <c r="K210" s="1411"/>
      <c r="L210" s="108"/>
      <c r="M210" s="4"/>
      <c r="N210" s="4"/>
      <c r="O210" s="4"/>
      <c r="P210" s="5"/>
      <c r="Q210" s="5"/>
    </row>
    <row r="211" spans="1:17" ht="15" customHeight="1" x14ac:dyDescent="0.25">
      <c r="A211" s="1412" t="s">
        <v>1057</v>
      </c>
      <c r="B211" s="1415" t="s">
        <v>138</v>
      </c>
      <c r="C211" s="1418" t="s">
        <v>139</v>
      </c>
      <c r="D211" s="1418">
        <v>13.02</v>
      </c>
      <c r="E211" s="1418">
        <v>1862</v>
      </c>
      <c r="F211" s="7">
        <v>0.75</v>
      </c>
      <c r="G211" s="203" t="s">
        <v>140</v>
      </c>
      <c r="H211" s="204" t="s">
        <v>141</v>
      </c>
      <c r="I211" s="204" t="s">
        <v>142</v>
      </c>
      <c r="J211" s="202">
        <f>ROUND(F211*D211/3600,4)</f>
        <v>2.7000000000000001E-3</v>
      </c>
      <c r="K211" s="202">
        <f>ROUND(F211*E211/1000000,4)</f>
        <v>1.4E-3</v>
      </c>
      <c r="L211" s="25"/>
      <c r="M211" s="5"/>
      <c r="N211" s="5"/>
      <c r="O211" s="5"/>
      <c r="P211" s="5"/>
      <c r="Q211" s="5"/>
    </row>
    <row r="212" spans="1:17" ht="15" customHeight="1" x14ac:dyDescent="0.25">
      <c r="A212" s="1413"/>
      <c r="B212" s="1416"/>
      <c r="C212" s="1419"/>
      <c r="D212" s="1419"/>
      <c r="E212" s="1419"/>
      <c r="F212" s="7">
        <v>1.5</v>
      </c>
      <c r="G212" s="206" t="s">
        <v>143</v>
      </c>
      <c r="H212" s="205" t="s">
        <v>144</v>
      </c>
      <c r="I212" s="204" t="s">
        <v>142</v>
      </c>
      <c r="J212" s="202">
        <f>ROUND((F212*D211/3600)*(1-I212),4)</f>
        <v>5.4000000000000003E-3</v>
      </c>
      <c r="K212" s="202">
        <f>ROUND((F212*E211/1000000)*(1-I212),4)</f>
        <v>2.8E-3</v>
      </c>
      <c r="L212" s="25"/>
      <c r="M212" s="5"/>
      <c r="N212" s="5"/>
      <c r="O212" s="5"/>
      <c r="P212" s="5"/>
      <c r="Q212" s="5"/>
    </row>
    <row r="213" spans="1:17" ht="15" customHeight="1" x14ac:dyDescent="0.25">
      <c r="A213" s="1413"/>
      <c r="B213" s="1416"/>
      <c r="C213" s="1419"/>
      <c r="D213" s="1419"/>
      <c r="E213" s="1419"/>
      <c r="F213" s="7">
        <v>0.92</v>
      </c>
      <c r="G213" s="203" t="s">
        <v>145</v>
      </c>
      <c r="H213" s="204" t="s">
        <v>146</v>
      </c>
      <c r="I213" s="204" t="s">
        <v>142</v>
      </c>
      <c r="J213" s="202">
        <f>ROUND((F213*D211/3600)*(1-I213),4)</f>
        <v>3.3E-3</v>
      </c>
      <c r="K213" s="202">
        <f>ROUND((F213*E211/1000000)*(1-I213),4)</f>
        <v>1.6999999999999999E-3</v>
      </c>
      <c r="L213" s="25"/>
      <c r="M213" s="5"/>
      <c r="N213" s="5"/>
      <c r="O213" s="5"/>
      <c r="P213" s="5"/>
      <c r="Q213" s="5"/>
    </row>
    <row r="214" spans="1:17" ht="15" customHeight="1" x14ac:dyDescent="0.25">
      <c r="A214" s="1413"/>
      <c r="B214" s="1416"/>
      <c r="C214" s="1419"/>
      <c r="D214" s="1419"/>
      <c r="E214" s="1419"/>
      <c r="F214" s="7">
        <v>3.3</v>
      </c>
      <c r="G214" s="203" t="s">
        <v>147</v>
      </c>
      <c r="H214" s="204" t="s">
        <v>148</v>
      </c>
      <c r="I214" s="204" t="s">
        <v>142</v>
      </c>
      <c r="J214" s="202">
        <f>ROUND((F214*D211/3600)*(1-I214),4)</f>
        <v>1.1900000000000001E-2</v>
      </c>
      <c r="K214" s="202">
        <f>ROUND((F214*E211/1000000)*(1-I214),4)</f>
        <v>6.1000000000000004E-3</v>
      </c>
      <c r="L214" s="25"/>
      <c r="M214" s="5"/>
      <c r="N214" s="5"/>
      <c r="O214" s="5"/>
      <c r="P214" s="5"/>
      <c r="Q214" s="5"/>
    </row>
    <row r="215" spans="1:17" ht="15" customHeight="1" x14ac:dyDescent="0.25">
      <c r="A215" s="1413"/>
      <c r="B215" s="1416"/>
      <c r="C215" s="1419"/>
      <c r="D215" s="1419"/>
      <c r="E215" s="1419"/>
      <c r="F215" s="7">
        <v>10.69</v>
      </c>
      <c r="G215" s="203" t="s">
        <v>149</v>
      </c>
      <c r="H215" s="204" t="s">
        <v>150</v>
      </c>
      <c r="I215" s="204" t="s">
        <v>142</v>
      </c>
      <c r="J215" s="202">
        <f>ROUND((F215*D211/3600)*(1-I215),4)</f>
        <v>3.8699999999999998E-2</v>
      </c>
      <c r="K215" s="202">
        <f>ROUND((F215*E211/1000000)*(1-I215),4)</f>
        <v>1.9900000000000001E-2</v>
      </c>
      <c r="L215" s="25"/>
      <c r="M215" s="5"/>
      <c r="N215" s="5"/>
      <c r="O215" s="5"/>
      <c r="P215" s="5"/>
      <c r="Q215" s="5"/>
    </row>
    <row r="216" spans="1:17" ht="15" customHeight="1" x14ac:dyDescent="0.25">
      <c r="A216" s="1413"/>
      <c r="B216" s="1416"/>
      <c r="C216" s="1419"/>
      <c r="D216" s="1419"/>
      <c r="E216" s="1419"/>
      <c r="F216" s="7">
        <v>1.4</v>
      </c>
      <c r="G216" s="207" t="s">
        <v>151</v>
      </c>
      <c r="H216" s="23">
        <v>2908</v>
      </c>
      <c r="I216" s="204" t="s">
        <v>142</v>
      </c>
      <c r="J216" s="202">
        <f>ROUND((F216*D211/3600)*(1-I216),4)</f>
        <v>5.1000000000000004E-3</v>
      </c>
      <c r="K216" s="202">
        <f>ROUND((F216*E211/1000000)*(1-I216),4)</f>
        <v>2.5999999999999999E-3</v>
      </c>
      <c r="L216" s="25"/>
      <c r="M216" s="5"/>
      <c r="N216" s="5"/>
      <c r="O216" s="5"/>
      <c r="P216" s="5"/>
      <c r="Q216" s="5"/>
    </row>
    <row r="217" spans="1:17" ht="15" customHeight="1" x14ac:dyDescent="0.25">
      <c r="A217" s="1414"/>
      <c r="B217" s="1417"/>
      <c r="C217" s="1420"/>
      <c r="D217" s="1420"/>
      <c r="E217" s="1420"/>
      <c r="F217" s="7">
        <v>13.3</v>
      </c>
      <c r="G217" s="203" t="s">
        <v>152</v>
      </c>
      <c r="H217" s="204" t="s">
        <v>153</v>
      </c>
      <c r="I217" s="204" t="s">
        <v>142</v>
      </c>
      <c r="J217" s="202">
        <f>ROUND((F217*D211/3600)*(1-I217),4)</f>
        <v>4.8099999999999997E-2</v>
      </c>
      <c r="K217" s="202">
        <f>ROUND((F217*E211/1000000)*(1-I217),4)</f>
        <v>2.4799999999999999E-2</v>
      </c>
      <c r="L217" s="25">
        <f>SUM(J211:J217)</f>
        <v>0.1152</v>
      </c>
      <c r="M217" s="25">
        <f>SUM(K211:K217)</f>
        <v>5.9299999999999992E-2</v>
      </c>
      <c r="N217" s="924"/>
      <c r="O217" s="5"/>
      <c r="P217" s="5"/>
      <c r="Q217" s="5"/>
    </row>
    <row r="218" spans="1:17" ht="15" customHeight="1" x14ac:dyDescent="0.25">
      <c r="A218" s="1411" t="s">
        <v>291</v>
      </c>
      <c r="B218" s="1411"/>
      <c r="C218" s="1411"/>
      <c r="D218" s="1411"/>
      <c r="E218" s="1411"/>
      <c r="F218" s="1411"/>
      <c r="G218" s="1411"/>
      <c r="H218" s="1411"/>
      <c r="I218" s="1411"/>
      <c r="J218" s="1411"/>
      <c r="K218" s="1411"/>
      <c r="L218" s="109"/>
      <c r="M218" s="4"/>
      <c r="N218" s="4"/>
      <c r="O218" s="4"/>
      <c r="P218" s="4"/>
      <c r="Q218" s="5"/>
    </row>
    <row r="219" spans="1:17" ht="15" customHeight="1" x14ac:dyDescent="0.25">
      <c r="A219" s="1412" t="s">
        <v>509</v>
      </c>
      <c r="B219" s="1415" t="s">
        <v>138</v>
      </c>
      <c r="C219" s="1418" t="s">
        <v>139</v>
      </c>
      <c r="D219" s="1418">
        <v>3.49</v>
      </c>
      <c r="E219" s="1418">
        <v>1994.1</v>
      </c>
      <c r="F219" s="7">
        <v>0.75</v>
      </c>
      <c r="G219" s="203" t="s">
        <v>140</v>
      </c>
      <c r="H219" s="204" t="s">
        <v>141</v>
      </c>
      <c r="I219" s="204" t="s">
        <v>142</v>
      </c>
      <c r="J219" s="202">
        <f>ROUND(F219*D219/3600,4)</f>
        <v>6.9999999999999999E-4</v>
      </c>
      <c r="K219" s="202">
        <f>ROUND(F219*E219/1000000,4)</f>
        <v>1.5E-3</v>
      </c>
      <c r="L219" s="102"/>
    </row>
    <row r="220" spans="1:17" ht="15" customHeight="1" x14ac:dyDescent="0.25">
      <c r="A220" s="1413"/>
      <c r="B220" s="1416"/>
      <c r="C220" s="1419"/>
      <c r="D220" s="1419"/>
      <c r="E220" s="1419"/>
      <c r="F220" s="7">
        <v>1.5</v>
      </c>
      <c r="G220" s="206" t="s">
        <v>143</v>
      </c>
      <c r="H220" s="205" t="s">
        <v>144</v>
      </c>
      <c r="I220" s="204" t="s">
        <v>142</v>
      </c>
      <c r="J220" s="202">
        <f>ROUND((F220*D219/3600)*(1-I220),4)</f>
        <v>1.5E-3</v>
      </c>
      <c r="K220" s="202">
        <f>ROUND((F220*E219/1000000)*(1-I220),4)</f>
        <v>3.0000000000000001E-3</v>
      </c>
      <c r="L220" s="102"/>
    </row>
    <row r="221" spans="1:17" ht="15" customHeight="1" x14ac:dyDescent="0.25">
      <c r="A221" s="1413"/>
      <c r="B221" s="1416"/>
      <c r="C221" s="1419"/>
      <c r="D221" s="1419"/>
      <c r="E221" s="1419"/>
      <c r="F221" s="7">
        <v>0.92</v>
      </c>
      <c r="G221" s="203" t="s">
        <v>145</v>
      </c>
      <c r="H221" s="204" t="s">
        <v>146</v>
      </c>
      <c r="I221" s="204" t="s">
        <v>142</v>
      </c>
      <c r="J221" s="202">
        <f>ROUND((F221*D219/3600)*(1-I221),4)</f>
        <v>8.9999999999999998E-4</v>
      </c>
      <c r="K221" s="202">
        <f>ROUND((F221*E219/1000000)*(1-I221),4)</f>
        <v>1.8E-3</v>
      </c>
      <c r="L221" s="102"/>
    </row>
    <row r="222" spans="1:17" ht="15" customHeight="1" x14ac:dyDescent="0.25">
      <c r="A222" s="1413"/>
      <c r="B222" s="1416"/>
      <c r="C222" s="1419"/>
      <c r="D222" s="1419"/>
      <c r="E222" s="1419"/>
      <c r="F222" s="7">
        <v>3.3</v>
      </c>
      <c r="G222" s="203" t="s">
        <v>147</v>
      </c>
      <c r="H222" s="204" t="s">
        <v>148</v>
      </c>
      <c r="I222" s="204" t="s">
        <v>142</v>
      </c>
      <c r="J222" s="202">
        <f>ROUND((F222*D219/3600)*(1-I222),4)</f>
        <v>3.2000000000000002E-3</v>
      </c>
      <c r="K222" s="202">
        <f>ROUND((F222*E219/1000000)*(1-I222),4)</f>
        <v>6.6E-3</v>
      </c>
      <c r="L222" s="102"/>
    </row>
    <row r="223" spans="1:17" ht="15" customHeight="1" x14ac:dyDescent="0.25">
      <c r="A223" s="1413"/>
      <c r="B223" s="1416"/>
      <c r="C223" s="1419"/>
      <c r="D223" s="1419"/>
      <c r="E223" s="1419"/>
      <c r="F223" s="7">
        <v>10.69</v>
      </c>
      <c r="G223" s="203" t="s">
        <v>149</v>
      </c>
      <c r="H223" s="204" t="s">
        <v>150</v>
      </c>
      <c r="I223" s="204" t="s">
        <v>142</v>
      </c>
      <c r="J223" s="202">
        <f>ROUND((F223*D219/3600)*(1-I223),4)</f>
        <v>1.04E-2</v>
      </c>
      <c r="K223" s="202">
        <f>ROUND((F223*E219/1000000)*(1-I223),4)</f>
        <v>2.1299999999999999E-2</v>
      </c>
      <c r="L223" s="102"/>
    </row>
    <row r="224" spans="1:17" ht="15" customHeight="1" x14ac:dyDescent="0.25">
      <c r="A224" s="1413"/>
      <c r="B224" s="1416"/>
      <c r="C224" s="1419"/>
      <c r="D224" s="1419"/>
      <c r="E224" s="1419"/>
      <c r="F224" s="7">
        <v>1.4</v>
      </c>
      <c r="G224" s="207" t="s">
        <v>151</v>
      </c>
      <c r="H224" s="23">
        <v>2908</v>
      </c>
      <c r="I224" s="204" t="s">
        <v>142</v>
      </c>
      <c r="J224" s="202">
        <f>ROUND((F224*D219/3600)*(1-I224),4)</f>
        <v>1.4E-3</v>
      </c>
      <c r="K224" s="202">
        <f>ROUND((F224*E219/1000000)*(1-I224),4)</f>
        <v>2.8E-3</v>
      </c>
      <c r="L224" s="102"/>
    </row>
    <row r="225" spans="1:17" ht="15" customHeight="1" x14ac:dyDescent="0.25">
      <c r="A225" s="1414"/>
      <c r="B225" s="1417"/>
      <c r="C225" s="1420"/>
      <c r="D225" s="1420"/>
      <c r="E225" s="1420"/>
      <c r="F225" s="7">
        <v>13.3</v>
      </c>
      <c r="G225" s="203" t="s">
        <v>152</v>
      </c>
      <c r="H225" s="204" t="s">
        <v>153</v>
      </c>
      <c r="I225" s="204" t="s">
        <v>142</v>
      </c>
      <c r="J225" s="202">
        <f>ROUND((F225*D219/3600)*(1-I225),4)</f>
        <v>1.29E-2</v>
      </c>
      <c r="K225" s="202">
        <f>ROUND((F225*E219/1000000)*(1-I225),4)</f>
        <v>2.6499999999999999E-2</v>
      </c>
      <c r="L225" s="25">
        <f>SUM(J219:J225)</f>
        <v>3.1E-2</v>
      </c>
      <c r="M225" s="25">
        <f>SUM(K219:K225)</f>
        <v>6.3500000000000001E-2</v>
      </c>
      <c r="N225" s="924"/>
    </row>
    <row r="226" spans="1:17" ht="15" customHeight="1" x14ac:dyDescent="0.25">
      <c r="A226" s="1435" t="s">
        <v>60</v>
      </c>
      <c r="B226" s="1436"/>
      <c r="C226" s="1436"/>
      <c r="D226" s="1436"/>
      <c r="E226" s="1436"/>
      <c r="F226" s="1436"/>
      <c r="G226" s="1436"/>
      <c r="H226" s="1436"/>
      <c r="I226" s="1436"/>
      <c r="J226" s="1436"/>
      <c r="K226" s="1437"/>
      <c r="L226" s="906">
        <f>SUM(L113:L225)</f>
        <v>1.73176</v>
      </c>
      <c r="M226" s="903">
        <f>SUM(M113:M225)</f>
        <v>6.4603700000000002</v>
      </c>
      <c r="N226" s="904">
        <v>2027</v>
      </c>
      <c r="O226" s="5"/>
      <c r="P226" s="5"/>
      <c r="Q226" s="5"/>
    </row>
    <row r="227" spans="1:17" ht="15" customHeight="1" x14ac:dyDescent="0.25">
      <c r="A227" s="1411" t="s">
        <v>8</v>
      </c>
      <c r="B227" s="1411"/>
      <c r="C227" s="1411"/>
      <c r="D227" s="1411"/>
      <c r="E227" s="1411"/>
      <c r="F227" s="1411"/>
      <c r="G227" s="1411"/>
      <c r="H227" s="1411"/>
      <c r="I227" s="1411"/>
      <c r="J227" s="1411"/>
      <c r="K227" s="1411"/>
      <c r="L227" s="108"/>
      <c r="M227" s="4"/>
      <c r="N227" s="4"/>
      <c r="O227" s="4"/>
    </row>
    <row r="228" spans="1:17" ht="15" customHeight="1" x14ac:dyDescent="0.25">
      <c r="A228" s="1412" t="s">
        <v>366</v>
      </c>
      <c r="B228" s="1415" t="s">
        <v>138</v>
      </c>
      <c r="C228" s="1418" t="s">
        <v>139</v>
      </c>
      <c r="D228" s="1418">
        <v>49</v>
      </c>
      <c r="E228" s="1418">
        <v>126104.2</v>
      </c>
      <c r="F228" s="7">
        <v>0.75</v>
      </c>
      <c r="G228" s="203" t="s">
        <v>140</v>
      </c>
      <c r="H228" s="204" t="s">
        <v>141</v>
      </c>
      <c r="I228" s="204" t="s">
        <v>142</v>
      </c>
      <c r="J228" s="202">
        <f>ROUND(F228*D228/3600,4)</f>
        <v>1.0200000000000001E-2</v>
      </c>
      <c r="K228" s="202">
        <f>ROUND(F228*E228/1000000,4)</f>
        <v>9.4600000000000004E-2</v>
      </c>
      <c r="L228" s="25"/>
      <c r="M228" s="5"/>
      <c r="N228" s="5"/>
      <c r="O228" s="5"/>
      <c r="P228" s="5"/>
      <c r="Q228" s="5"/>
    </row>
    <row r="229" spans="1:17" ht="15" customHeight="1" x14ac:dyDescent="0.25">
      <c r="A229" s="1413"/>
      <c r="B229" s="1416"/>
      <c r="C229" s="1419"/>
      <c r="D229" s="1419"/>
      <c r="E229" s="1419"/>
      <c r="F229" s="7">
        <v>1.5</v>
      </c>
      <c r="G229" s="206" t="s">
        <v>143</v>
      </c>
      <c r="H229" s="205" t="s">
        <v>144</v>
      </c>
      <c r="I229" s="204" t="s">
        <v>142</v>
      </c>
      <c r="J229" s="202">
        <f>ROUND((F229*D228/3600)*(1-I229),4)</f>
        <v>2.0400000000000001E-2</v>
      </c>
      <c r="K229" s="202">
        <f>ROUND((F229*E228/1000000)*(1-I229),4)</f>
        <v>0.18920000000000001</v>
      </c>
      <c r="L229" s="25"/>
      <c r="M229" s="5"/>
      <c r="N229" s="5"/>
      <c r="O229" s="5"/>
      <c r="P229" s="5"/>
      <c r="Q229" s="5"/>
    </row>
    <row r="230" spans="1:17" ht="15" customHeight="1" x14ac:dyDescent="0.25">
      <c r="A230" s="1413"/>
      <c r="B230" s="1416"/>
      <c r="C230" s="1419"/>
      <c r="D230" s="1419"/>
      <c r="E230" s="1419"/>
      <c r="F230" s="7">
        <v>0.92</v>
      </c>
      <c r="G230" s="203" t="s">
        <v>145</v>
      </c>
      <c r="H230" s="204" t="s">
        <v>146</v>
      </c>
      <c r="I230" s="204" t="s">
        <v>142</v>
      </c>
      <c r="J230" s="202">
        <f>ROUND((F230*D228/3600)*(1-I230),4)</f>
        <v>1.2500000000000001E-2</v>
      </c>
      <c r="K230" s="202">
        <f>ROUND((F230*E228/1000000)*(1-I230),4)</f>
        <v>0.11600000000000001</v>
      </c>
      <c r="L230" s="25"/>
      <c r="M230" s="5"/>
      <c r="N230" s="5"/>
      <c r="O230" s="5"/>
      <c r="P230" s="5"/>
      <c r="Q230" s="5"/>
    </row>
    <row r="231" spans="1:17" ht="15" customHeight="1" x14ac:dyDescent="0.25">
      <c r="A231" s="1413"/>
      <c r="B231" s="1416"/>
      <c r="C231" s="1419"/>
      <c r="D231" s="1419"/>
      <c r="E231" s="1419"/>
      <c r="F231" s="7">
        <v>3.3</v>
      </c>
      <c r="G231" s="203" t="s">
        <v>147</v>
      </c>
      <c r="H231" s="204" t="s">
        <v>148</v>
      </c>
      <c r="I231" s="204" t="s">
        <v>142</v>
      </c>
      <c r="J231" s="202">
        <f>ROUND((F231*D228/3600)*(1-I231),4)</f>
        <v>4.4900000000000002E-2</v>
      </c>
      <c r="K231" s="202">
        <f>ROUND((F231*E228/1000000)*(1-I231),4)</f>
        <v>0.41610000000000003</v>
      </c>
      <c r="L231" s="25"/>
      <c r="M231" s="5"/>
      <c r="N231" s="5"/>
      <c r="O231" s="5"/>
      <c r="P231" s="5"/>
      <c r="Q231" s="5"/>
    </row>
    <row r="232" spans="1:17" ht="15" customHeight="1" x14ac:dyDescent="0.25">
      <c r="A232" s="1413"/>
      <c r="B232" s="1416"/>
      <c r="C232" s="1419"/>
      <c r="D232" s="1419"/>
      <c r="E232" s="1419"/>
      <c r="F232" s="7">
        <v>10.69</v>
      </c>
      <c r="G232" s="203" t="s">
        <v>149</v>
      </c>
      <c r="H232" s="204" t="s">
        <v>150</v>
      </c>
      <c r="I232" s="204" t="s">
        <v>142</v>
      </c>
      <c r="J232" s="202">
        <f>ROUND((F232*D228/3600)*(1-I232),4)</f>
        <v>0.14549999999999999</v>
      </c>
      <c r="K232" s="202">
        <f>ROUND((F232*E228/1000000)*(1-I232),4)</f>
        <v>1.3481000000000001</v>
      </c>
      <c r="L232" s="25"/>
      <c r="M232" s="5"/>
      <c r="N232" s="5"/>
      <c r="O232" s="5"/>
      <c r="P232" s="5"/>
      <c r="Q232" s="5"/>
    </row>
    <row r="233" spans="1:17" ht="15" customHeight="1" x14ac:dyDescent="0.25">
      <c r="A233" s="1413"/>
      <c r="B233" s="1416"/>
      <c r="C233" s="1419"/>
      <c r="D233" s="1419"/>
      <c r="E233" s="1419"/>
      <c r="F233" s="7">
        <v>1.4</v>
      </c>
      <c r="G233" s="207" t="s">
        <v>151</v>
      </c>
      <c r="H233" s="23">
        <v>2908</v>
      </c>
      <c r="I233" s="204" t="s">
        <v>142</v>
      </c>
      <c r="J233" s="202">
        <f>ROUND((F233*D228/3600)*(1-I233),4)</f>
        <v>1.9099999999999999E-2</v>
      </c>
      <c r="K233" s="202">
        <f>ROUND((F233*E228/1000000)*(1-I233),4)</f>
        <v>0.17649999999999999</v>
      </c>
      <c r="L233" s="25"/>
      <c r="M233" s="25"/>
      <c r="N233" s="5"/>
      <c r="O233" s="5"/>
      <c r="P233" s="5"/>
      <c r="Q233" s="5"/>
    </row>
    <row r="234" spans="1:17" ht="15" customHeight="1" x14ac:dyDescent="0.25">
      <c r="A234" s="1414"/>
      <c r="B234" s="1417"/>
      <c r="C234" s="1420"/>
      <c r="D234" s="1420"/>
      <c r="E234" s="1420"/>
      <c r="F234" s="7">
        <v>13.3</v>
      </c>
      <c r="G234" s="203" t="s">
        <v>152</v>
      </c>
      <c r="H234" s="204" t="s">
        <v>153</v>
      </c>
      <c r="I234" s="204" t="s">
        <v>142</v>
      </c>
      <c r="J234" s="202">
        <f>ROUND((F234*D228/3600)*(1-I234),4)</f>
        <v>0.18099999999999999</v>
      </c>
      <c r="K234" s="202">
        <f>ROUND((F234*E228/1000000)*(1-I234),4)</f>
        <v>1.6772</v>
      </c>
      <c r="L234" s="25">
        <f>SUM(J228:J234)</f>
        <v>0.43359999999999999</v>
      </c>
      <c r="M234" s="25">
        <f>SUM(K228:K234)</f>
        <v>4.0176999999999996</v>
      </c>
      <c r="N234" s="924"/>
      <c r="O234" s="5"/>
      <c r="P234" s="5"/>
      <c r="Q234" s="5"/>
    </row>
    <row r="235" spans="1:17" ht="15" customHeight="1" x14ac:dyDescent="0.25">
      <c r="A235" s="1411" t="s">
        <v>204</v>
      </c>
      <c r="B235" s="1411"/>
      <c r="C235" s="1411"/>
      <c r="D235" s="1411"/>
      <c r="E235" s="1411"/>
      <c r="F235" s="1411"/>
      <c r="G235" s="1411"/>
      <c r="H235" s="1411"/>
      <c r="I235" s="1411"/>
      <c r="J235" s="1411"/>
      <c r="K235" s="1411"/>
      <c r="L235" s="108"/>
      <c r="M235" s="108"/>
      <c r="N235" s="4"/>
      <c r="O235" s="4"/>
      <c r="P235" s="5"/>
      <c r="Q235" s="5"/>
    </row>
    <row r="236" spans="1:17" ht="15" customHeight="1" x14ac:dyDescent="0.25">
      <c r="A236" s="1412" t="s">
        <v>386</v>
      </c>
      <c r="B236" s="1415" t="s">
        <v>138</v>
      </c>
      <c r="C236" s="1418" t="s">
        <v>139</v>
      </c>
      <c r="D236" s="1418">
        <v>9.5299999999999994</v>
      </c>
      <c r="E236" s="1418">
        <v>19077</v>
      </c>
      <c r="F236" s="7">
        <v>0.75</v>
      </c>
      <c r="G236" s="203" t="s">
        <v>140</v>
      </c>
      <c r="H236" s="204" t="s">
        <v>141</v>
      </c>
      <c r="I236" s="204" t="s">
        <v>142</v>
      </c>
      <c r="J236" s="202">
        <f>ROUND(F236*D236/3600,4)</f>
        <v>2E-3</v>
      </c>
      <c r="K236" s="202">
        <f>ROUND(F236*E236/1000000,4)</f>
        <v>1.43E-2</v>
      </c>
      <c r="L236" s="25"/>
      <c r="M236" s="25"/>
      <c r="N236" s="5"/>
      <c r="O236" s="5"/>
      <c r="P236" s="5"/>
      <c r="Q236" s="5"/>
    </row>
    <row r="237" spans="1:17" ht="15" customHeight="1" x14ac:dyDescent="0.25">
      <c r="A237" s="1413"/>
      <c r="B237" s="1416"/>
      <c r="C237" s="1419"/>
      <c r="D237" s="1419"/>
      <c r="E237" s="1419"/>
      <c r="F237" s="7">
        <v>1.5</v>
      </c>
      <c r="G237" s="206" t="s">
        <v>143</v>
      </c>
      <c r="H237" s="205" t="s">
        <v>144</v>
      </c>
      <c r="I237" s="204" t="s">
        <v>142</v>
      </c>
      <c r="J237" s="202">
        <f>ROUND((F237*D236/3600)*(1-I237),4)</f>
        <v>4.0000000000000001E-3</v>
      </c>
      <c r="K237" s="202">
        <f>ROUND((F237*E236/1000000)*(1-I237),4)</f>
        <v>2.86E-2</v>
      </c>
      <c r="L237" s="25"/>
      <c r="M237" s="25"/>
      <c r="N237" s="5"/>
      <c r="O237" s="5"/>
      <c r="P237" s="5"/>
      <c r="Q237" s="5"/>
    </row>
    <row r="238" spans="1:17" ht="15" customHeight="1" x14ac:dyDescent="0.25">
      <c r="A238" s="1413"/>
      <c r="B238" s="1416"/>
      <c r="C238" s="1419"/>
      <c r="D238" s="1419"/>
      <c r="E238" s="1419"/>
      <c r="F238" s="7">
        <v>0.92</v>
      </c>
      <c r="G238" s="203" t="s">
        <v>145</v>
      </c>
      <c r="H238" s="204" t="s">
        <v>146</v>
      </c>
      <c r="I238" s="204" t="s">
        <v>142</v>
      </c>
      <c r="J238" s="202">
        <f>ROUND((F238*D236/3600)*(1-I238),4)</f>
        <v>2.3999999999999998E-3</v>
      </c>
      <c r="K238" s="202">
        <f>ROUND((F238*E236/1000000)*(1-I238),4)</f>
        <v>1.7600000000000001E-2</v>
      </c>
      <c r="L238" s="25"/>
      <c r="M238" s="25"/>
      <c r="N238" s="5"/>
      <c r="O238" s="5"/>
      <c r="P238" s="5"/>
      <c r="Q238" s="5"/>
    </row>
    <row r="239" spans="1:17" ht="15" customHeight="1" x14ac:dyDescent="0.25">
      <c r="A239" s="1413"/>
      <c r="B239" s="1416"/>
      <c r="C239" s="1419"/>
      <c r="D239" s="1419"/>
      <c r="E239" s="1419"/>
      <c r="F239" s="7">
        <v>3.3</v>
      </c>
      <c r="G239" s="203" t="s">
        <v>147</v>
      </c>
      <c r="H239" s="204" t="s">
        <v>148</v>
      </c>
      <c r="I239" s="204" t="s">
        <v>142</v>
      </c>
      <c r="J239" s="202">
        <f>ROUND((F239*D236/3600)*(1-I239),4)</f>
        <v>8.6999999999999994E-3</v>
      </c>
      <c r="K239" s="202">
        <f>ROUND((F239*E236/1000000)*(1-I239),4)</f>
        <v>6.3E-2</v>
      </c>
      <c r="L239" s="25"/>
      <c r="M239" s="25"/>
      <c r="N239" s="5"/>
      <c r="O239" s="5"/>
      <c r="P239" s="5"/>
      <c r="Q239" s="5"/>
    </row>
    <row r="240" spans="1:17" ht="15" customHeight="1" x14ac:dyDescent="0.25">
      <c r="A240" s="1413"/>
      <c r="B240" s="1416"/>
      <c r="C240" s="1419"/>
      <c r="D240" s="1419"/>
      <c r="E240" s="1419"/>
      <c r="F240" s="7">
        <v>10.69</v>
      </c>
      <c r="G240" s="203" t="s">
        <v>149</v>
      </c>
      <c r="H240" s="204" t="s">
        <v>150</v>
      </c>
      <c r="I240" s="204" t="s">
        <v>142</v>
      </c>
      <c r="J240" s="202">
        <f>ROUND((F240*D236/3600)*(1-I240),4)</f>
        <v>2.8299999999999999E-2</v>
      </c>
      <c r="K240" s="202">
        <f>ROUND((F240*E236/1000000)*(1-I240),4)</f>
        <v>0.2039</v>
      </c>
      <c r="L240" s="25"/>
      <c r="M240" s="25"/>
      <c r="N240" s="5"/>
      <c r="O240" s="5"/>
      <c r="P240" s="5"/>
      <c r="Q240" s="5"/>
    </row>
    <row r="241" spans="1:17" ht="15" customHeight="1" x14ac:dyDescent="0.25">
      <c r="A241" s="1413"/>
      <c r="B241" s="1416"/>
      <c r="C241" s="1419"/>
      <c r="D241" s="1419"/>
      <c r="E241" s="1419"/>
      <c r="F241" s="7">
        <v>1.4</v>
      </c>
      <c r="G241" s="207" t="s">
        <v>151</v>
      </c>
      <c r="H241" s="23">
        <v>2908</v>
      </c>
      <c r="I241" s="204" t="s">
        <v>142</v>
      </c>
      <c r="J241" s="202">
        <f>ROUND((F241*D236/3600)*(1-I241),4)</f>
        <v>3.7000000000000002E-3</v>
      </c>
      <c r="K241" s="202">
        <f>ROUND((F241*E236/1000000)*(1-I241),4)</f>
        <v>2.6700000000000002E-2</v>
      </c>
      <c r="L241" s="25"/>
      <c r="M241" s="25"/>
      <c r="N241" s="5"/>
      <c r="O241" s="5"/>
      <c r="P241" s="5"/>
      <c r="Q241" s="5"/>
    </row>
    <row r="242" spans="1:17" ht="15" customHeight="1" x14ac:dyDescent="0.25">
      <c r="A242" s="1414"/>
      <c r="B242" s="1417"/>
      <c r="C242" s="1420"/>
      <c r="D242" s="1420"/>
      <c r="E242" s="1420"/>
      <c r="F242" s="7">
        <v>13.3</v>
      </c>
      <c r="G242" s="203" t="s">
        <v>152</v>
      </c>
      <c r="H242" s="204" t="s">
        <v>153</v>
      </c>
      <c r="I242" s="204" t="s">
        <v>142</v>
      </c>
      <c r="J242" s="202">
        <f>ROUND((F242*D236/3600)*(1-I242),4)</f>
        <v>3.5200000000000002E-2</v>
      </c>
      <c r="K242" s="202">
        <f>ROUND((F242*E236/1000000)*(1-I242),4)</f>
        <v>0.25369999999999998</v>
      </c>
      <c r="L242" s="25">
        <f>SUM(J236:J242)</f>
        <v>8.43E-2</v>
      </c>
      <c r="M242" s="25">
        <f>SUM(K236:K242)</f>
        <v>0.60780000000000001</v>
      </c>
      <c r="N242" s="924"/>
      <c r="O242" s="5"/>
      <c r="P242" s="5"/>
      <c r="Q242" s="5"/>
    </row>
    <row r="243" spans="1:17" ht="15" customHeight="1" x14ac:dyDescent="0.25">
      <c r="A243" s="1411" t="s">
        <v>210</v>
      </c>
      <c r="B243" s="1411"/>
      <c r="C243" s="1411"/>
      <c r="D243" s="1411"/>
      <c r="E243" s="1411"/>
      <c r="F243" s="1411"/>
      <c r="G243" s="1411"/>
      <c r="H243" s="1411"/>
      <c r="I243" s="1411"/>
      <c r="J243" s="1411"/>
      <c r="K243" s="1411"/>
      <c r="L243" s="108"/>
      <c r="M243" s="108"/>
      <c r="N243" s="4"/>
      <c r="O243" s="4"/>
      <c r="P243" s="5"/>
      <c r="Q243" s="5"/>
    </row>
    <row r="244" spans="1:17" ht="15" customHeight="1" x14ac:dyDescent="0.25">
      <c r="A244" s="1412" t="s">
        <v>392</v>
      </c>
      <c r="B244" s="1415" t="s">
        <v>138</v>
      </c>
      <c r="C244" s="1418" t="s">
        <v>139</v>
      </c>
      <c r="D244" s="1418">
        <v>3.1</v>
      </c>
      <c r="E244" s="1418">
        <v>26385.5</v>
      </c>
      <c r="F244" s="7">
        <v>0.75</v>
      </c>
      <c r="G244" s="203" t="s">
        <v>140</v>
      </c>
      <c r="H244" s="204" t="s">
        <v>141</v>
      </c>
      <c r="I244" s="204" t="s">
        <v>142</v>
      </c>
      <c r="J244" s="202">
        <f>ROUND(F244*D244/3600,4)</f>
        <v>5.9999999999999995E-4</v>
      </c>
      <c r="K244" s="202">
        <f>ROUND(F244*E244/1000000,4)</f>
        <v>1.9800000000000002E-2</v>
      </c>
      <c r="L244" s="25"/>
      <c r="M244" s="25"/>
      <c r="N244" s="5"/>
      <c r="O244" s="5"/>
      <c r="P244" s="5"/>
      <c r="Q244" s="5"/>
    </row>
    <row r="245" spans="1:17" ht="15" customHeight="1" x14ac:dyDescent="0.25">
      <c r="A245" s="1413"/>
      <c r="B245" s="1416"/>
      <c r="C245" s="1419"/>
      <c r="D245" s="1419"/>
      <c r="E245" s="1419"/>
      <c r="F245" s="7">
        <v>1.5</v>
      </c>
      <c r="G245" s="206" t="s">
        <v>143</v>
      </c>
      <c r="H245" s="205" t="s">
        <v>144</v>
      </c>
      <c r="I245" s="204" t="s">
        <v>142</v>
      </c>
      <c r="J245" s="202">
        <f>ROUND((F245*D244/3600)*(1-I245),4)</f>
        <v>1.2999999999999999E-3</v>
      </c>
      <c r="K245" s="202">
        <f>ROUND((F245*E244/1000000)*(1-I245),4)</f>
        <v>3.9600000000000003E-2</v>
      </c>
      <c r="L245" s="25"/>
      <c r="M245" s="25"/>
      <c r="N245" s="5"/>
      <c r="O245" s="5"/>
      <c r="P245" s="5"/>
      <c r="Q245" s="5"/>
    </row>
    <row r="246" spans="1:17" ht="15" customHeight="1" x14ac:dyDescent="0.25">
      <c r="A246" s="1413"/>
      <c r="B246" s="1416"/>
      <c r="C246" s="1419"/>
      <c r="D246" s="1419"/>
      <c r="E246" s="1419"/>
      <c r="F246" s="7">
        <v>0.92</v>
      </c>
      <c r="G246" s="203" t="s">
        <v>145</v>
      </c>
      <c r="H246" s="204" t="s">
        <v>146</v>
      </c>
      <c r="I246" s="204" t="s">
        <v>142</v>
      </c>
      <c r="J246" s="202">
        <f>ROUND((F246*D244/3600)*(1-I246),4)</f>
        <v>8.0000000000000004E-4</v>
      </c>
      <c r="K246" s="202">
        <f>ROUND((F246*E244/1000000)*(1-I246),4)</f>
        <v>2.4299999999999999E-2</v>
      </c>
      <c r="L246" s="25"/>
      <c r="M246" s="25"/>
      <c r="N246" s="5"/>
      <c r="O246" s="5"/>
      <c r="P246" s="5"/>
      <c r="Q246" s="5"/>
    </row>
    <row r="247" spans="1:17" ht="15" customHeight="1" x14ac:dyDescent="0.25">
      <c r="A247" s="1413"/>
      <c r="B247" s="1416"/>
      <c r="C247" s="1419"/>
      <c r="D247" s="1419"/>
      <c r="E247" s="1419"/>
      <c r="F247" s="7">
        <v>3.3</v>
      </c>
      <c r="G247" s="203" t="s">
        <v>147</v>
      </c>
      <c r="H247" s="204" t="s">
        <v>148</v>
      </c>
      <c r="I247" s="204" t="s">
        <v>142</v>
      </c>
      <c r="J247" s="202">
        <f>ROUND((F247*D244/3600)*(1-I247),4)</f>
        <v>2.8E-3</v>
      </c>
      <c r="K247" s="202">
        <f>ROUND((F247*E244/1000000)*(1-I247),4)</f>
        <v>8.7099999999999997E-2</v>
      </c>
      <c r="L247" s="25"/>
      <c r="M247" s="25"/>
      <c r="N247" s="5"/>
      <c r="O247" s="5"/>
      <c r="P247" s="5"/>
      <c r="Q247" s="5"/>
    </row>
    <row r="248" spans="1:17" ht="15" customHeight="1" x14ac:dyDescent="0.25">
      <c r="A248" s="1413"/>
      <c r="B248" s="1416"/>
      <c r="C248" s="1419"/>
      <c r="D248" s="1419"/>
      <c r="E248" s="1419"/>
      <c r="F248" s="7">
        <v>10.69</v>
      </c>
      <c r="G248" s="203" t="s">
        <v>149</v>
      </c>
      <c r="H248" s="204" t="s">
        <v>150</v>
      </c>
      <c r="I248" s="204" t="s">
        <v>142</v>
      </c>
      <c r="J248" s="202">
        <f>ROUND((F248*D244/3600)*(1-I248),4)</f>
        <v>9.1999999999999998E-3</v>
      </c>
      <c r="K248" s="202">
        <f>ROUND((F248*E244/1000000)*(1-I248),4)</f>
        <v>0.28210000000000002</v>
      </c>
      <c r="L248" s="25"/>
      <c r="M248" s="25"/>
      <c r="N248" s="5"/>
      <c r="O248" s="5"/>
      <c r="P248" s="5"/>
      <c r="Q248" s="5"/>
    </row>
    <row r="249" spans="1:17" ht="15" customHeight="1" x14ac:dyDescent="0.25">
      <c r="A249" s="1413"/>
      <c r="B249" s="1416"/>
      <c r="C249" s="1419"/>
      <c r="D249" s="1419"/>
      <c r="E249" s="1419"/>
      <c r="F249" s="7">
        <v>1.4</v>
      </c>
      <c r="G249" s="207" t="s">
        <v>151</v>
      </c>
      <c r="H249" s="23">
        <v>2908</v>
      </c>
      <c r="I249" s="204" t="s">
        <v>142</v>
      </c>
      <c r="J249" s="202">
        <f>ROUND((F249*D244/3600)*(1-I249),4)</f>
        <v>1.1999999999999999E-3</v>
      </c>
      <c r="K249" s="202">
        <f>ROUND((F249*E244/1000000)*(1-I249),4)</f>
        <v>3.6900000000000002E-2</v>
      </c>
      <c r="L249" s="25"/>
      <c r="M249" s="25"/>
      <c r="N249" s="5"/>
      <c r="O249" s="5"/>
      <c r="P249" s="5"/>
      <c r="Q249" s="5"/>
    </row>
    <row r="250" spans="1:17" ht="15" customHeight="1" x14ac:dyDescent="0.25">
      <c r="A250" s="1414"/>
      <c r="B250" s="1417"/>
      <c r="C250" s="1420"/>
      <c r="D250" s="1420"/>
      <c r="E250" s="1420"/>
      <c r="F250" s="7">
        <v>13.3</v>
      </c>
      <c r="G250" s="203" t="s">
        <v>152</v>
      </c>
      <c r="H250" s="204" t="s">
        <v>153</v>
      </c>
      <c r="I250" s="204" t="s">
        <v>142</v>
      </c>
      <c r="J250" s="202">
        <f>ROUND((F250*D244/3600)*(1-I250),4)</f>
        <v>1.15E-2</v>
      </c>
      <c r="K250" s="202">
        <f>ROUND((F250*E244/1000000)*(1-I250),4)</f>
        <v>0.35089999999999999</v>
      </c>
      <c r="L250" s="25">
        <f>SUM(J244:J250)</f>
        <v>2.7400000000000001E-2</v>
      </c>
      <c r="M250" s="25">
        <f>SUM(K244:K250)</f>
        <v>0.8407</v>
      </c>
      <c r="N250" s="924"/>
      <c r="O250" s="5"/>
      <c r="P250" s="5"/>
      <c r="Q250" s="5"/>
    </row>
    <row r="251" spans="1:17" ht="15" customHeight="1" x14ac:dyDescent="0.25">
      <c r="A251" s="1411" t="s">
        <v>213</v>
      </c>
      <c r="B251" s="1411"/>
      <c r="C251" s="1411"/>
      <c r="D251" s="1411"/>
      <c r="E251" s="1411"/>
      <c r="F251" s="1411"/>
      <c r="G251" s="1411"/>
      <c r="H251" s="1411"/>
      <c r="I251" s="1411"/>
      <c r="J251" s="1411"/>
      <c r="K251" s="1411"/>
      <c r="L251" s="108"/>
      <c r="M251" s="108"/>
      <c r="N251" s="4"/>
      <c r="O251" s="4"/>
      <c r="P251" s="5"/>
      <c r="Q251" s="5"/>
    </row>
    <row r="252" spans="1:17" ht="15" customHeight="1" x14ac:dyDescent="0.25">
      <c r="A252" s="1412" t="s">
        <v>399</v>
      </c>
      <c r="B252" s="1415" t="s">
        <v>138</v>
      </c>
      <c r="C252" s="1418" t="s">
        <v>139</v>
      </c>
      <c r="D252" s="1418">
        <v>10.9</v>
      </c>
      <c r="E252" s="1418">
        <v>6250.9</v>
      </c>
      <c r="F252" s="7">
        <v>0.75</v>
      </c>
      <c r="G252" s="203" t="s">
        <v>140</v>
      </c>
      <c r="H252" s="204" t="s">
        <v>141</v>
      </c>
      <c r="I252" s="204" t="s">
        <v>142</v>
      </c>
      <c r="J252" s="202">
        <f>ROUND(F252*D252/3600,4)</f>
        <v>2.3E-3</v>
      </c>
      <c r="K252" s="202">
        <f>ROUND(F252*E252/1000000,4)</f>
        <v>4.7000000000000002E-3</v>
      </c>
      <c r="L252" s="25"/>
      <c r="M252" s="25"/>
      <c r="N252" s="5"/>
      <c r="O252" s="5"/>
      <c r="P252" s="5"/>
      <c r="Q252" s="5"/>
    </row>
    <row r="253" spans="1:17" ht="15" customHeight="1" x14ac:dyDescent="0.25">
      <c r="A253" s="1413"/>
      <c r="B253" s="1416"/>
      <c r="C253" s="1419"/>
      <c r="D253" s="1419"/>
      <c r="E253" s="1419"/>
      <c r="F253" s="7">
        <v>1.5</v>
      </c>
      <c r="G253" s="206" t="s">
        <v>143</v>
      </c>
      <c r="H253" s="205" t="s">
        <v>144</v>
      </c>
      <c r="I253" s="204" t="s">
        <v>142</v>
      </c>
      <c r="J253" s="202">
        <f>ROUND((F253*D252/3600)*(1-I253),4)</f>
        <v>4.4999999999999997E-3</v>
      </c>
      <c r="K253" s="202">
        <f>ROUND((F253*E252/1000000)*(1-I253),4)</f>
        <v>9.4000000000000004E-3</v>
      </c>
      <c r="L253" s="25"/>
      <c r="M253" s="25"/>
      <c r="N253" s="5"/>
      <c r="O253" s="5"/>
      <c r="P253" s="5"/>
      <c r="Q253" s="5"/>
    </row>
    <row r="254" spans="1:17" ht="15" customHeight="1" x14ac:dyDescent="0.25">
      <c r="A254" s="1413"/>
      <c r="B254" s="1416"/>
      <c r="C254" s="1419"/>
      <c r="D254" s="1419"/>
      <c r="E254" s="1419"/>
      <c r="F254" s="7">
        <v>0.92</v>
      </c>
      <c r="G254" s="203" t="s">
        <v>145</v>
      </c>
      <c r="H254" s="204" t="s">
        <v>146</v>
      </c>
      <c r="I254" s="204" t="s">
        <v>142</v>
      </c>
      <c r="J254" s="202">
        <f>ROUND((F254*D252/3600)*(1-I254),4)</f>
        <v>2.8E-3</v>
      </c>
      <c r="K254" s="202">
        <f>ROUND((F254*E252/1000000)*(1-I254),4)</f>
        <v>5.7999999999999996E-3</v>
      </c>
      <c r="L254" s="25"/>
      <c r="M254" s="25"/>
      <c r="N254" s="5"/>
      <c r="O254" s="5"/>
      <c r="P254" s="5"/>
      <c r="Q254" s="5"/>
    </row>
    <row r="255" spans="1:17" ht="15" customHeight="1" x14ac:dyDescent="0.25">
      <c r="A255" s="1413"/>
      <c r="B255" s="1416"/>
      <c r="C255" s="1419"/>
      <c r="D255" s="1419"/>
      <c r="E255" s="1419"/>
      <c r="F255" s="7">
        <v>3.3</v>
      </c>
      <c r="G255" s="203" t="s">
        <v>147</v>
      </c>
      <c r="H255" s="204" t="s">
        <v>148</v>
      </c>
      <c r="I255" s="204" t="s">
        <v>142</v>
      </c>
      <c r="J255" s="202">
        <f>ROUND((F255*D252/3600)*(1-I255),4)</f>
        <v>0.01</v>
      </c>
      <c r="K255" s="202">
        <f>ROUND((F255*E252/1000000)*(1-I255),4)</f>
        <v>2.06E-2</v>
      </c>
      <c r="L255" s="25"/>
      <c r="M255" s="25"/>
      <c r="N255" s="5"/>
      <c r="O255" s="5"/>
      <c r="P255" s="5"/>
      <c r="Q255" s="5"/>
    </row>
    <row r="256" spans="1:17" ht="15" customHeight="1" x14ac:dyDescent="0.25">
      <c r="A256" s="1413"/>
      <c r="B256" s="1416"/>
      <c r="C256" s="1419"/>
      <c r="D256" s="1419"/>
      <c r="E256" s="1419"/>
      <c r="F256" s="7">
        <v>10.69</v>
      </c>
      <c r="G256" s="203" t="s">
        <v>149</v>
      </c>
      <c r="H256" s="204" t="s">
        <v>150</v>
      </c>
      <c r="I256" s="204" t="s">
        <v>142</v>
      </c>
      <c r="J256" s="202">
        <f>ROUND((F256*D252/3600)*(1-I256),4)</f>
        <v>3.2399999999999998E-2</v>
      </c>
      <c r="K256" s="202">
        <f>ROUND((F256*E252/1000000)*(1-I256),4)</f>
        <v>6.6799999999999998E-2</v>
      </c>
      <c r="L256" s="25"/>
      <c r="M256" s="25"/>
      <c r="N256" s="5"/>
      <c r="O256" s="5"/>
      <c r="P256" s="5"/>
      <c r="Q256" s="5"/>
    </row>
    <row r="257" spans="1:17" ht="15" customHeight="1" x14ac:dyDescent="0.25">
      <c r="A257" s="1413"/>
      <c r="B257" s="1416"/>
      <c r="C257" s="1419"/>
      <c r="D257" s="1419"/>
      <c r="E257" s="1419"/>
      <c r="F257" s="7">
        <v>1.4</v>
      </c>
      <c r="G257" s="207" t="s">
        <v>151</v>
      </c>
      <c r="H257" s="23">
        <v>2908</v>
      </c>
      <c r="I257" s="204" t="s">
        <v>142</v>
      </c>
      <c r="J257" s="202">
        <f>ROUND((F257*D252/3600)*(1-I257),4)</f>
        <v>4.1999999999999997E-3</v>
      </c>
      <c r="K257" s="202">
        <f>ROUND((F257*E252/1000000)*(1-I257),4)</f>
        <v>8.8000000000000005E-3</v>
      </c>
      <c r="L257" s="25"/>
      <c r="M257" s="25"/>
      <c r="N257" s="5"/>
      <c r="O257" s="5"/>
      <c r="P257" s="5"/>
      <c r="Q257" s="5"/>
    </row>
    <row r="258" spans="1:17" ht="15" customHeight="1" x14ac:dyDescent="0.25">
      <c r="A258" s="1414"/>
      <c r="B258" s="1417"/>
      <c r="C258" s="1420"/>
      <c r="D258" s="1420"/>
      <c r="E258" s="1420"/>
      <c r="F258" s="7">
        <v>13.3</v>
      </c>
      <c r="G258" s="203" t="s">
        <v>152</v>
      </c>
      <c r="H258" s="204" t="s">
        <v>153</v>
      </c>
      <c r="I258" s="204" t="s">
        <v>142</v>
      </c>
      <c r="J258" s="202">
        <f>ROUND((F258*D252/3600)*(1-I258),4)</f>
        <v>4.0300000000000002E-2</v>
      </c>
      <c r="K258" s="202">
        <f>ROUND((F258*E252/1000000)*(1-I258),4)</f>
        <v>8.3099999999999993E-2</v>
      </c>
      <c r="L258" s="25">
        <f>SUM(J252:J258)</f>
        <v>9.6500000000000002E-2</v>
      </c>
      <c r="M258" s="25">
        <f>SUM(K252:K258)</f>
        <v>0.19919999999999999</v>
      </c>
      <c r="N258" s="924"/>
      <c r="O258" s="5"/>
      <c r="P258" s="5"/>
      <c r="Q258" s="5"/>
    </row>
    <row r="259" spans="1:17" ht="15" customHeight="1" x14ac:dyDescent="0.25">
      <c r="A259" s="1411" t="s">
        <v>215</v>
      </c>
      <c r="B259" s="1411"/>
      <c r="C259" s="1411"/>
      <c r="D259" s="1411"/>
      <c r="E259" s="1411"/>
      <c r="F259" s="1411"/>
      <c r="G259" s="1411"/>
      <c r="H259" s="1411"/>
      <c r="I259" s="1411"/>
      <c r="J259" s="1411"/>
      <c r="K259" s="1411"/>
      <c r="L259" s="108"/>
      <c r="M259" s="108"/>
      <c r="N259" s="4"/>
      <c r="O259" s="4"/>
      <c r="P259" s="5"/>
      <c r="Q259" s="5"/>
    </row>
    <row r="260" spans="1:17" ht="15" customHeight="1" x14ac:dyDescent="0.25">
      <c r="A260" s="1412" t="s">
        <v>404</v>
      </c>
      <c r="B260" s="1415" t="s">
        <v>138</v>
      </c>
      <c r="C260" s="1418" t="s">
        <v>139</v>
      </c>
      <c r="D260" s="1418">
        <v>60.02</v>
      </c>
      <c r="E260" s="1418">
        <v>102996.9</v>
      </c>
      <c r="F260" s="7">
        <v>0.75</v>
      </c>
      <c r="G260" s="203" t="s">
        <v>140</v>
      </c>
      <c r="H260" s="204" t="s">
        <v>141</v>
      </c>
      <c r="I260" s="204" t="s">
        <v>142</v>
      </c>
      <c r="J260" s="202">
        <f>ROUND(F260*D260/3600,4)</f>
        <v>1.2500000000000001E-2</v>
      </c>
      <c r="K260" s="202">
        <f>ROUND(F260*E260/1000000,4)</f>
        <v>7.7200000000000005E-2</v>
      </c>
      <c r="L260" s="25"/>
      <c r="M260" s="25"/>
      <c r="N260" s="5"/>
      <c r="O260" s="5"/>
      <c r="P260" s="5"/>
      <c r="Q260" s="5"/>
    </row>
    <row r="261" spans="1:17" ht="15" customHeight="1" x14ac:dyDescent="0.25">
      <c r="A261" s="1413"/>
      <c r="B261" s="1416"/>
      <c r="C261" s="1419"/>
      <c r="D261" s="1419"/>
      <c r="E261" s="1419"/>
      <c r="F261" s="7">
        <v>1.5</v>
      </c>
      <c r="G261" s="206" t="s">
        <v>143</v>
      </c>
      <c r="H261" s="205" t="s">
        <v>144</v>
      </c>
      <c r="I261" s="204" t="s">
        <v>142</v>
      </c>
      <c r="J261" s="202">
        <f>ROUND((F261*D260/3600)*(1-I261),4)</f>
        <v>2.5000000000000001E-2</v>
      </c>
      <c r="K261" s="202">
        <f>ROUND((F261*E260/1000000)*(1-I261),4)</f>
        <v>0.1545</v>
      </c>
      <c r="L261" s="25"/>
      <c r="M261" s="25"/>
      <c r="N261" s="5"/>
      <c r="O261" s="5"/>
      <c r="P261" s="5"/>
      <c r="Q261" s="5"/>
    </row>
    <row r="262" spans="1:17" ht="15" customHeight="1" x14ac:dyDescent="0.25">
      <c r="A262" s="1413"/>
      <c r="B262" s="1416"/>
      <c r="C262" s="1419"/>
      <c r="D262" s="1419"/>
      <c r="E262" s="1419"/>
      <c r="F262" s="7">
        <v>0.92</v>
      </c>
      <c r="G262" s="203" t="s">
        <v>145</v>
      </c>
      <c r="H262" s="204" t="s">
        <v>146</v>
      </c>
      <c r="I262" s="204" t="s">
        <v>142</v>
      </c>
      <c r="J262" s="202">
        <f>ROUND((F262*D260/3600)*(1-I262),4)</f>
        <v>1.5299999999999999E-2</v>
      </c>
      <c r="K262" s="202">
        <f>ROUND((F262*E260/1000000)*(1-I262),4)</f>
        <v>9.4799999999999995E-2</v>
      </c>
      <c r="L262" s="25"/>
      <c r="M262" s="25"/>
      <c r="N262" s="5"/>
      <c r="O262" s="5"/>
      <c r="P262" s="5"/>
      <c r="Q262" s="5"/>
    </row>
    <row r="263" spans="1:17" ht="15" customHeight="1" x14ac:dyDescent="0.25">
      <c r="A263" s="1413"/>
      <c r="B263" s="1416"/>
      <c r="C263" s="1419"/>
      <c r="D263" s="1419"/>
      <c r="E263" s="1419"/>
      <c r="F263" s="7">
        <v>3.3</v>
      </c>
      <c r="G263" s="203" t="s">
        <v>147</v>
      </c>
      <c r="H263" s="204" t="s">
        <v>148</v>
      </c>
      <c r="I263" s="204" t="s">
        <v>142</v>
      </c>
      <c r="J263" s="202">
        <f>ROUND((F263*D260/3600)*(1-I263),4)</f>
        <v>5.5E-2</v>
      </c>
      <c r="K263" s="202">
        <f>ROUND((F263*E260/1000000)*(1-I263),4)</f>
        <v>0.33989999999999998</v>
      </c>
      <c r="L263" s="25"/>
      <c r="M263" s="25"/>
      <c r="N263" s="5"/>
      <c r="O263" s="5"/>
      <c r="P263" s="5"/>
      <c r="Q263" s="5"/>
    </row>
    <row r="264" spans="1:17" ht="15" customHeight="1" x14ac:dyDescent="0.25">
      <c r="A264" s="1413"/>
      <c r="B264" s="1416"/>
      <c r="C264" s="1419"/>
      <c r="D264" s="1419"/>
      <c r="E264" s="1419"/>
      <c r="F264" s="7">
        <v>10.69</v>
      </c>
      <c r="G264" s="203" t="s">
        <v>149</v>
      </c>
      <c r="H264" s="204" t="s">
        <v>150</v>
      </c>
      <c r="I264" s="204" t="s">
        <v>142</v>
      </c>
      <c r="J264" s="202">
        <f>ROUND((F264*D260/3600)*(1-I264),4)</f>
        <v>0.1782</v>
      </c>
      <c r="K264" s="202">
        <f>ROUND((F264*E260/1000000)*(1-I264),4)</f>
        <v>1.101</v>
      </c>
      <c r="L264" s="25"/>
      <c r="M264" s="25"/>
      <c r="N264" s="5"/>
      <c r="O264" s="5"/>
      <c r="P264" s="5"/>
      <c r="Q264" s="5"/>
    </row>
    <row r="265" spans="1:17" ht="15" customHeight="1" x14ac:dyDescent="0.25">
      <c r="A265" s="1413"/>
      <c r="B265" s="1416"/>
      <c r="C265" s="1419"/>
      <c r="D265" s="1419"/>
      <c r="E265" s="1419"/>
      <c r="F265" s="7">
        <v>1.4</v>
      </c>
      <c r="G265" s="207" t="s">
        <v>151</v>
      </c>
      <c r="H265" s="23">
        <v>2908</v>
      </c>
      <c r="I265" s="204" t="s">
        <v>142</v>
      </c>
      <c r="J265" s="202">
        <f>ROUND((F265*D260/3600)*(1-I265),4)</f>
        <v>2.3300000000000001E-2</v>
      </c>
      <c r="K265" s="202">
        <f>ROUND((F265*E260/1000000)*(1-I265),4)</f>
        <v>0.14419999999999999</v>
      </c>
      <c r="L265" s="25"/>
      <c r="M265" s="25"/>
      <c r="N265" s="5"/>
      <c r="O265" s="5"/>
      <c r="P265" s="5"/>
      <c r="Q265" s="5"/>
    </row>
    <row r="266" spans="1:17" ht="15" customHeight="1" x14ac:dyDescent="0.25">
      <c r="A266" s="1414"/>
      <c r="B266" s="1417"/>
      <c r="C266" s="1420"/>
      <c r="D266" s="1420"/>
      <c r="E266" s="1420"/>
      <c r="F266" s="7">
        <v>13.3</v>
      </c>
      <c r="G266" s="203" t="s">
        <v>152</v>
      </c>
      <c r="H266" s="204" t="s">
        <v>153</v>
      </c>
      <c r="I266" s="204" t="s">
        <v>142</v>
      </c>
      <c r="J266" s="202">
        <f>ROUND((F266*D260/3600)*(1-I266),4)</f>
        <v>0.22170000000000001</v>
      </c>
      <c r="K266" s="202">
        <f>ROUND((F266*E260/1000000)*(1-I266),4)</f>
        <v>1.3698999999999999</v>
      </c>
      <c r="L266" s="25">
        <f>SUM(J260:J266)</f>
        <v>0.53100000000000003</v>
      </c>
      <c r="M266" s="25">
        <f>SUM(K260:K266)</f>
        <v>3.2814999999999999</v>
      </c>
      <c r="N266" s="924"/>
      <c r="O266" s="5"/>
      <c r="P266" s="5"/>
      <c r="Q266" s="5"/>
    </row>
    <row r="267" spans="1:17" ht="15" customHeight="1" x14ac:dyDescent="0.25">
      <c r="A267" s="1411" t="s">
        <v>232</v>
      </c>
      <c r="B267" s="1411"/>
      <c r="C267" s="1411"/>
      <c r="D267" s="1411"/>
      <c r="E267" s="1411"/>
      <c r="F267" s="1411"/>
      <c r="G267" s="1411"/>
      <c r="H267" s="1411"/>
      <c r="I267" s="1411"/>
      <c r="J267" s="1411"/>
      <c r="K267" s="1411"/>
      <c r="L267" s="108"/>
      <c r="M267" s="108"/>
      <c r="N267" s="4"/>
      <c r="O267" s="4"/>
      <c r="P267" s="5"/>
      <c r="Q267" s="5"/>
    </row>
    <row r="268" spans="1:17" ht="15" customHeight="1" x14ac:dyDescent="0.25">
      <c r="A268" s="1412" t="s">
        <v>407</v>
      </c>
      <c r="B268" s="1415" t="s">
        <v>138</v>
      </c>
      <c r="C268" s="1418" t="s">
        <v>139</v>
      </c>
      <c r="D268" s="1418">
        <v>6.14</v>
      </c>
      <c r="E268" s="1418">
        <v>10539.4</v>
      </c>
      <c r="F268" s="7">
        <v>0.75</v>
      </c>
      <c r="G268" s="203" t="s">
        <v>140</v>
      </c>
      <c r="H268" s="204" t="s">
        <v>141</v>
      </c>
      <c r="I268" s="204" t="s">
        <v>142</v>
      </c>
      <c r="J268" s="202">
        <f>ROUND(F268*D268/3600,5)</f>
        <v>1.2800000000000001E-3</v>
      </c>
      <c r="K268" s="202">
        <f>ROUND(F268*E268/1000000,5)</f>
        <v>7.9000000000000008E-3</v>
      </c>
      <c r="L268" s="25"/>
      <c r="M268" s="25"/>
      <c r="N268" s="5"/>
      <c r="O268" s="5"/>
      <c r="P268" s="5"/>
      <c r="Q268" s="5"/>
    </row>
    <row r="269" spans="1:17" ht="15" customHeight="1" x14ac:dyDescent="0.25">
      <c r="A269" s="1413"/>
      <c r="B269" s="1416"/>
      <c r="C269" s="1419"/>
      <c r="D269" s="1419"/>
      <c r="E269" s="1419"/>
      <c r="F269" s="7">
        <v>1.5</v>
      </c>
      <c r="G269" s="206" t="s">
        <v>143</v>
      </c>
      <c r="H269" s="205" t="s">
        <v>144</v>
      </c>
      <c r="I269" s="204" t="s">
        <v>142</v>
      </c>
      <c r="J269" s="202">
        <f>ROUND((F269*D268/3600)*(1-I269),5)</f>
        <v>2.5600000000000002E-3</v>
      </c>
      <c r="K269" s="202">
        <f>ROUND((F269*E268/1000000)*(1-I269),4)</f>
        <v>1.5800000000000002E-2</v>
      </c>
      <c r="L269" s="25"/>
      <c r="M269" s="25"/>
      <c r="N269" s="5"/>
      <c r="O269" s="5"/>
      <c r="P269" s="5"/>
      <c r="Q269" s="5"/>
    </row>
    <row r="270" spans="1:17" ht="15" customHeight="1" x14ac:dyDescent="0.25">
      <c r="A270" s="1413"/>
      <c r="B270" s="1416"/>
      <c r="C270" s="1419"/>
      <c r="D270" s="1419"/>
      <c r="E270" s="1419"/>
      <c r="F270" s="7">
        <v>0.92</v>
      </c>
      <c r="G270" s="203" t="s">
        <v>145</v>
      </c>
      <c r="H270" s="204" t="s">
        <v>146</v>
      </c>
      <c r="I270" s="204" t="s">
        <v>142</v>
      </c>
      <c r="J270" s="202">
        <f>ROUND((F270*D268/3600)*(1-I270),5)</f>
        <v>1.57E-3</v>
      </c>
      <c r="K270" s="202">
        <f>ROUND((F270*E268/1000000)*(1-I270),5)</f>
        <v>9.7000000000000003E-3</v>
      </c>
      <c r="L270" s="25"/>
      <c r="M270" s="25"/>
      <c r="N270" s="5"/>
      <c r="O270" s="5"/>
      <c r="P270" s="5"/>
      <c r="Q270" s="5"/>
    </row>
    <row r="271" spans="1:17" ht="15" customHeight="1" x14ac:dyDescent="0.25">
      <c r="A271" s="1413"/>
      <c r="B271" s="1416"/>
      <c r="C271" s="1419"/>
      <c r="D271" s="1419"/>
      <c r="E271" s="1419"/>
      <c r="F271" s="7">
        <v>3.3</v>
      </c>
      <c r="G271" s="203" t="s">
        <v>147</v>
      </c>
      <c r="H271" s="204" t="s">
        <v>148</v>
      </c>
      <c r="I271" s="204" t="s">
        <v>142</v>
      </c>
      <c r="J271" s="202">
        <f>ROUND((F271*D268/3600)*(1-I271),4)</f>
        <v>5.5999999999999999E-3</v>
      </c>
      <c r="K271" s="202">
        <f>ROUND((F271*E268/1000000)*(1-I271),4)</f>
        <v>3.4799999999999998E-2</v>
      </c>
      <c r="L271" s="25"/>
      <c r="M271" s="25"/>
      <c r="N271" s="5"/>
      <c r="O271" s="5"/>
      <c r="P271" s="5"/>
      <c r="Q271" s="5"/>
    </row>
    <row r="272" spans="1:17" ht="15" customHeight="1" x14ac:dyDescent="0.25">
      <c r="A272" s="1413"/>
      <c r="B272" s="1416"/>
      <c r="C272" s="1419"/>
      <c r="D272" s="1419"/>
      <c r="E272" s="1419"/>
      <c r="F272" s="7">
        <v>10.69</v>
      </c>
      <c r="G272" s="203" t="s">
        <v>149</v>
      </c>
      <c r="H272" s="204" t="s">
        <v>150</v>
      </c>
      <c r="I272" s="204" t="s">
        <v>142</v>
      </c>
      <c r="J272" s="202">
        <f>ROUND((F272*D268/3600)*(1-I272),4)</f>
        <v>1.8200000000000001E-2</v>
      </c>
      <c r="K272" s="202">
        <f>ROUND((F272*E268/1000000)*(1-I272),4)</f>
        <v>0.11269999999999999</v>
      </c>
      <c r="L272" s="25"/>
      <c r="M272" s="25"/>
      <c r="N272" s="5"/>
      <c r="O272" s="5"/>
      <c r="P272" s="5"/>
      <c r="Q272" s="5"/>
    </row>
    <row r="273" spans="1:17" ht="15" customHeight="1" x14ac:dyDescent="0.25">
      <c r="A273" s="1413"/>
      <c r="B273" s="1416"/>
      <c r="C273" s="1419"/>
      <c r="D273" s="1419"/>
      <c r="E273" s="1419"/>
      <c r="F273" s="7">
        <v>1.4</v>
      </c>
      <c r="G273" s="207" t="s">
        <v>151</v>
      </c>
      <c r="H273" s="23">
        <v>2908</v>
      </c>
      <c r="I273" s="204" t="s">
        <v>142</v>
      </c>
      <c r="J273" s="202">
        <f>ROUND((F273*D268/3600)*(1-I273),5)</f>
        <v>2.3900000000000002E-3</v>
      </c>
      <c r="K273" s="202">
        <f>ROUND((F273*E268/1000000)*(1-I273),4)</f>
        <v>1.4800000000000001E-2</v>
      </c>
      <c r="L273" s="25"/>
      <c r="M273" s="25"/>
      <c r="N273" s="5"/>
      <c r="O273" s="5"/>
      <c r="P273" s="5"/>
      <c r="Q273" s="5"/>
    </row>
    <row r="274" spans="1:17" ht="15" customHeight="1" x14ac:dyDescent="0.25">
      <c r="A274" s="1414"/>
      <c r="B274" s="1417"/>
      <c r="C274" s="1420"/>
      <c r="D274" s="1420"/>
      <c r="E274" s="1420"/>
      <c r="F274" s="7">
        <v>13.3</v>
      </c>
      <c r="G274" s="203" t="s">
        <v>152</v>
      </c>
      <c r="H274" s="204" t="s">
        <v>153</v>
      </c>
      <c r="I274" s="204" t="s">
        <v>142</v>
      </c>
      <c r="J274" s="202">
        <f>ROUND((F274*D268/3600)*(1-I274),4)</f>
        <v>2.2700000000000001E-2</v>
      </c>
      <c r="K274" s="202">
        <f>ROUND((F274*E268/1000000)*(1-I274),4)</f>
        <v>0.14019999999999999</v>
      </c>
      <c r="L274" s="25">
        <f>SUM(J268:J274)</f>
        <v>5.4300000000000001E-2</v>
      </c>
      <c r="M274" s="25">
        <f>SUM(K268:K274)</f>
        <v>0.33589999999999998</v>
      </c>
      <c r="N274" s="924"/>
      <c r="O274" s="5"/>
      <c r="P274" s="5"/>
      <c r="Q274" s="5"/>
    </row>
    <row r="275" spans="1:17" ht="15" customHeight="1" x14ac:dyDescent="0.25">
      <c r="A275" s="1428" t="s">
        <v>233</v>
      </c>
      <c r="B275" s="1428"/>
      <c r="C275" s="1428"/>
      <c r="D275" s="1428"/>
      <c r="E275" s="1428"/>
      <c r="F275" s="1428"/>
      <c r="G275" s="1428"/>
      <c r="H275" s="1428"/>
      <c r="I275" s="1428"/>
      <c r="J275" s="1428"/>
      <c r="K275" s="1428"/>
      <c r="L275" s="108"/>
      <c r="M275" s="108"/>
      <c r="N275" s="4"/>
      <c r="O275" s="4"/>
      <c r="P275" s="5"/>
      <c r="Q275" s="5"/>
    </row>
    <row r="276" spans="1:17" ht="15" customHeight="1" x14ac:dyDescent="0.25">
      <c r="A276" s="1429" t="s">
        <v>417</v>
      </c>
      <c r="B276" s="1432" t="s">
        <v>138</v>
      </c>
      <c r="C276" s="1421" t="s">
        <v>139</v>
      </c>
      <c r="D276" s="1421">
        <v>14</v>
      </c>
      <c r="E276" s="1418">
        <v>16012</v>
      </c>
      <c r="F276" s="311">
        <v>0.75</v>
      </c>
      <c r="G276" s="317" t="s">
        <v>140</v>
      </c>
      <c r="H276" s="318" t="s">
        <v>141</v>
      </c>
      <c r="I276" s="318" t="s">
        <v>142</v>
      </c>
      <c r="J276" s="319">
        <f>ROUND(F276*D276/3600,5)</f>
        <v>2.9199999999999999E-3</v>
      </c>
      <c r="K276" s="319">
        <f>ROUND(F276*E276/1000000,5)</f>
        <v>1.201E-2</v>
      </c>
      <c r="L276" s="25"/>
      <c r="M276" s="25"/>
      <c r="N276" s="5"/>
      <c r="O276" s="5"/>
      <c r="P276" s="5"/>
      <c r="Q276" s="5"/>
    </row>
    <row r="277" spans="1:17" ht="15" customHeight="1" x14ac:dyDescent="0.25">
      <c r="A277" s="1430"/>
      <c r="B277" s="1433"/>
      <c r="C277" s="1422"/>
      <c r="D277" s="1422"/>
      <c r="E277" s="1419"/>
      <c r="F277" s="311">
        <v>1.5</v>
      </c>
      <c r="G277" s="321" t="s">
        <v>143</v>
      </c>
      <c r="H277" s="320" t="s">
        <v>144</v>
      </c>
      <c r="I277" s="318" t="s">
        <v>142</v>
      </c>
      <c r="J277" s="319">
        <f>ROUND((F277*D276/3600)*(1-I277),5)</f>
        <v>5.8300000000000001E-3</v>
      </c>
      <c r="K277" s="319">
        <f>ROUND((F277*E276/1000000)*(1-I277),4)</f>
        <v>2.4E-2</v>
      </c>
      <c r="L277" s="25"/>
      <c r="M277" s="25"/>
      <c r="N277" s="5"/>
      <c r="O277" s="5"/>
      <c r="P277" s="5"/>
      <c r="Q277" s="5"/>
    </row>
    <row r="278" spans="1:17" ht="15" customHeight="1" x14ac:dyDescent="0.25">
      <c r="A278" s="1430"/>
      <c r="B278" s="1433"/>
      <c r="C278" s="1422"/>
      <c r="D278" s="1422"/>
      <c r="E278" s="1419"/>
      <c r="F278" s="311">
        <v>0.92</v>
      </c>
      <c r="G278" s="317" t="s">
        <v>145</v>
      </c>
      <c r="H278" s="318" t="s">
        <v>146</v>
      </c>
      <c r="I278" s="318" t="s">
        <v>142</v>
      </c>
      <c r="J278" s="319">
        <f>ROUND((F278*D276/3600)*(1-I278),5)</f>
        <v>3.5799999999999998E-3</v>
      </c>
      <c r="K278" s="319">
        <f>ROUND((F278*E276/1000000)*(1-I278),5)</f>
        <v>1.473E-2</v>
      </c>
      <c r="L278" s="25"/>
      <c r="M278" s="25"/>
      <c r="N278" s="5"/>
      <c r="O278" s="5"/>
      <c r="P278" s="5"/>
      <c r="Q278" s="5"/>
    </row>
    <row r="279" spans="1:17" ht="15" customHeight="1" x14ac:dyDescent="0.25">
      <c r="A279" s="1430"/>
      <c r="B279" s="1433"/>
      <c r="C279" s="1422"/>
      <c r="D279" s="1422"/>
      <c r="E279" s="1419"/>
      <c r="F279" s="311">
        <v>3.3</v>
      </c>
      <c r="G279" s="317" t="s">
        <v>147</v>
      </c>
      <c r="H279" s="318" t="s">
        <v>148</v>
      </c>
      <c r="I279" s="318" t="s">
        <v>142</v>
      </c>
      <c r="J279" s="319">
        <f>ROUND((F279*D276/3600)*(1-I279),4)</f>
        <v>1.2800000000000001E-2</v>
      </c>
      <c r="K279" s="319">
        <f>ROUND((F279*E276/1000000)*(1-I279),4)</f>
        <v>5.28E-2</v>
      </c>
      <c r="L279" s="25"/>
      <c r="M279" s="25"/>
      <c r="N279" s="5"/>
      <c r="O279" s="5"/>
      <c r="P279" s="5"/>
      <c r="Q279" s="5"/>
    </row>
    <row r="280" spans="1:17" ht="15" customHeight="1" x14ac:dyDescent="0.25">
      <c r="A280" s="1430"/>
      <c r="B280" s="1433"/>
      <c r="C280" s="1422"/>
      <c r="D280" s="1422"/>
      <c r="E280" s="1419"/>
      <c r="F280" s="311">
        <v>10.69</v>
      </c>
      <c r="G280" s="317" t="s">
        <v>149</v>
      </c>
      <c r="H280" s="318" t="s">
        <v>150</v>
      </c>
      <c r="I280" s="318" t="s">
        <v>142</v>
      </c>
      <c r="J280" s="319">
        <f>ROUND((F280*D276/3600)*(1-I280),4)</f>
        <v>4.1599999999999998E-2</v>
      </c>
      <c r="K280" s="319">
        <f>ROUND((F280*E276/1000000)*(1-I280),4)</f>
        <v>0.17119999999999999</v>
      </c>
      <c r="L280" s="25"/>
      <c r="M280" s="25"/>
      <c r="N280" s="5"/>
      <c r="O280" s="5"/>
      <c r="P280" s="5"/>
      <c r="Q280" s="5"/>
    </row>
    <row r="281" spans="1:17" ht="15" customHeight="1" x14ac:dyDescent="0.25">
      <c r="A281" s="1430"/>
      <c r="B281" s="1433"/>
      <c r="C281" s="1422"/>
      <c r="D281" s="1422"/>
      <c r="E281" s="1419"/>
      <c r="F281" s="311">
        <v>1.4</v>
      </c>
      <c r="G281" s="322" t="s">
        <v>151</v>
      </c>
      <c r="H281" s="323">
        <v>2908</v>
      </c>
      <c r="I281" s="318" t="s">
        <v>142</v>
      </c>
      <c r="J281" s="319">
        <f>ROUND((F281*D276/3600)*(1-I281),5)</f>
        <v>5.4400000000000004E-3</v>
      </c>
      <c r="K281" s="319">
        <f>ROUND((F281*E276/1000000)*(1-I281),4)</f>
        <v>2.24E-2</v>
      </c>
      <c r="L281" s="25"/>
      <c r="M281" s="25"/>
      <c r="N281" s="5"/>
      <c r="O281" s="5"/>
      <c r="P281" s="5"/>
      <c r="Q281" s="5"/>
    </row>
    <row r="282" spans="1:17" ht="15" customHeight="1" x14ac:dyDescent="0.25">
      <c r="A282" s="1431"/>
      <c r="B282" s="1434"/>
      <c r="C282" s="1423"/>
      <c r="D282" s="1423"/>
      <c r="E282" s="1420"/>
      <c r="F282" s="311">
        <v>13.3</v>
      </c>
      <c r="G282" s="317" t="s">
        <v>152</v>
      </c>
      <c r="H282" s="318" t="s">
        <v>153</v>
      </c>
      <c r="I282" s="318" t="s">
        <v>142</v>
      </c>
      <c r="J282" s="319">
        <f>ROUND((F282*D276/3600)*(1-I282),4)</f>
        <v>5.1700000000000003E-2</v>
      </c>
      <c r="K282" s="319">
        <f>ROUND((F282*E276/1000000)*(1-I282),4)</f>
        <v>0.21299999999999999</v>
      </c>
      <c r="L282" s="25">
        <f>SUM(J276:J282)</f>
        <v>0.12387000000000001</v>
      </c>
      <c r="M282" s="25">
        <f>SUM(K276:K282)</f>
        <v>0.51013999999999993</v>
      </c>
      <c r="N282" s="924"/>
      <c r="O282" s="5"/>
      <c r="P282" s="5"/>
      <c r="Q282" s="5"/>
    </row>
    <row r="283" spans="1:17" ht="15" customHeight="1" x14ac:dyDescent="0.25">
      <c r="A283" s="1428" t="s">
        <v>241</v>
      </c>
      <c r="B283" s="1428"/>
      <c r="C283" s="1428"/>
      <c r="D283" s="1428"/>
      <c r="E283" s="1428"/>
      <c r="F283" s="1428"/>
      <c r="G283" s="1428"/>
      <c r="H283" s="1428"/>
      <c r="I283" s="1428"/>
      <c r="J283" s="1428"/>
      <c r="K283" s="1428"/>
      <c r="L283" s="108"/>
      <c r="M283" s="108"/>
      <c r="N283" s="5"/>
      <c r="O283" s="5"/>
      <c r="P283" s="5"/>
      <c r="Q283" s="5"/>
    </row>
    <row r="284" spans="1:17" ht="15" customHeight="1" x14ac:dyDescent="0.25">
      <c r="A284" s="1429" t="s">
        <v>421</v>
      </c>
      <c r="B284" s="1432" t="s">
        <v>138</v>
      </c>
      <c r="C284" s="1421" t="s">
        <v>139</v>
      </c>
      <c r="D284" s="1421">
        <v>6.4</v>
      </c>
      <c r="E284" s="1418">
        <v>549.29999999999995</v>
      </c>
      <c r="F284" s="311">
        <v>0.75</v>
      </c>
      <c r="G284" s="317" t="s">
        <v>140</v>
      </c>
      <c r="H284" s="318" t="s">
        <v>141</v>
      </c>
      <c r="I284" s="318" t="s">
        <v>142</v>
      </c>
      <c r="J284" s="319">
        <f>ROUND(F284*D284/3600,5)</f>
        <v>1.33E-3</v>
      </c>
      <c r="K284" s="319">
        <f>ROUND(F284*E284/1000000,5)</f>
        <v>4.0999999999999999E-4</v>
      </c>
      <c r="L284" s="25"/>
      <c r="M284" s="25"/>
      <c r="N284" s="5"/>
      <c r="O284" s="5"/>
      <c r="P284" s="5"/>
      <c r="Q284" s="5"/>
    </row>
    <row r="285" spans="1:17" ht="15" customHeight="1" x14ac:dyDescent="0.25">
      <c r="A285" s="1430"/>
      <c r="B285" s="1433"/>
      <c r="C285" s="1422"/>
      <c r="D285" s="1422"/>
      <c r="E285" s="1419"/>
      <c r="F285" s="311">
        <v>1.5</v>
      </c>
      <c r="G285" s="321" t="s">
        <v>143</v>
      </c>
      <c r="H285" s="320" t="s">
        <v>144</v>
      </c>
      <c r="I285" s="318" t="s">
        <v>142</v>
      </c>
      <c r="J285" s="319">
        <f>ROUND((F285*D284/3600)*(1-I285),5)</f>
        <v>2.6700000000000001E-3</v>
      </c>
      <c r="K285" s="319">
        <f>ROUND((F285*E284/1000000)*(1-I285),4)</f>
        <v>8.0000000000000004E-4</v>
      </c>
      <c r="L285" s="25"/>
      <c r="M285" s="25"/>
      <c r="N285" s="5"/>
      <c r="O285" s="5"/>
      <c r="P285" s="5"/>
      <c r="Q285" s="5"/>
    </row>
    <row r="286" spans="1:17" ht="15" customHeight="1" x14ac:dyDescent="0.25">
      <c r="A286" s="1430"/>
      <c r="B286" s="1433"/>
      <c r="C286" s="1422"/>
      <c r="D286" s="1422"/>
      <c r="E286" s="1419"/>
      <c r="F286" s="311">
        <v>0.92</v>
      </c>
      <c r="G286" s="317" t="s">
        <v>145</v>
      </c>
      <c r="H286" s="318" t="s">
        <v>146</v>
      </c>
      <c r="I286" s="318" t="s">
        <v>142</v>
      </c>
      <c r="J286" s="319">
        <f>ROUND((F286*D284/3600)*(1-I286),5)</f>
        <v>1.64E-3</v>
      </c>
      <c r="K286" s="319">
        <f>ROUND((F286*E284/1000000)*(1-I286),4)</f>
        <v>5.0000000000000001E-4</v>
      </c>
      <c r="L286" s="25"/>
      <c r="M286" s="25"/>
      <c r="N286" s="5"/>
      <c r="O286" s="5"/>
      <c r="P286" s="5"/>
      <c r="Q286" s="5"/>
    </row>
    <row r="287" spans="1:17" ht="15" customHeight="1" x14ac:dyDescent="0.25">
      <c r="A287" s="1430"/>
      <c r="B287" s="1433"/>
      <c r="C287" s="1422"/>
      <c r="D287" s="1422"/>
      <c r="E287" s="1419"/>
      <c r="F287" s="311">
        <v>3.3</v>
      </c>
      <c r="G287" s="317" t="s">
        <v>147</v>
      </c>
      <c r="H287" s="318" t="s">
        <v>148</v>
      </c>
      <c r="I287" s="318" t="s">
        <v>142</v>
      </c>
      <c r="J287" s="319">
        <f>ROUND((F287*D284/3600)*(1-I287),4)</f>
        <v>5.8999999999999999E-3</v>
      </c>
      <c r="K287" s="319">
        <f>ROUND((F287*E284/1000000)*(1-I287),4)</f>
        <v>1.8E-3</v>
      </c>
      <c r="L287" s="25"/>
      <c r="M287" s="25"/>
      <c r="N287" s="5"/>
      <c r="O287" s="5"/>
      <c r="P287" s="5"/>
      <c r="Q287" s="5"/>
    </row>
    <row r="288" spans="1:17" ht="15" customHeight="1" x14ac:dyDescent="0.25">
      <c r="A288" s="1430"/>
      <c r="B288" s="1433"/>
      <c r="C288" s="1422"/>
      <c r="D288" s="1422"/>
      <c r="E288" s="1419"/>
      <c r="F288" s="311">
        <v>10.69</v>
      </c>
      <c r="G288" s="317" t="s">
        <v>149</v>
      </c>
      <c r="H288" s="318" t="s">
        <v>150</v>
      </c>
      <c r="I288" s="318" t="s">
        <v>142</v>
      </c>
      <c r="J288" s="319">
        <f>ROUND((F288*D284/3600)*(1-I288),4)</f>
        <v>1.9E-2</v>
      </c>
      <c r="K288" s="319">
        <f>ROUND((F288*E284/1000000)*(1-I288),4)</f>
        <v>5.8999999999999999E-3</v>
      </c>
      <c r="L288" s="25"/>
      <c r="M288" s="25"/>
      <c r="N288" s="5"/>
      <c r="O288" s="5"/>
      <c r="P288" s="5"/>
      <c r="Q288" s="5"/>
    </row>
    <row r="289" spans="1:17" ht="15" customHeight="1" x14ac:dyDescent="0.25">
      <c r="A289" s="1430"/>
      <c r="B289" s="1433"/>
      <c r="C289" s="1422"/>
      <c r="D289" s="1422"/>
      <c r="E289" s="1419"/>
      <c r="F289" s="311">
        <v>1.4</v>
      </c>
      <c r="G289" s="322" t="s">
        <v>151</v>
      </c>
      <c r="H289" s="323">
        <v>2908</v>
      </c>
      <c r="I289" s="318" t="s">
        <v>142</v>
      </c>
      <c r="J289" s="319">
        <f>ROUND((F289*D284/3600)*(1-I289),5)</f>
        <v>2.49E-3</v>
      </c>
      <c r="K289" s="319">
        <f>ROUND((F289*E284/1000000)*(1-I289),4)</f>
        <v>8.0000000000000004E-4</v>
      </c>
      <c r="L289" s="25"/>
      <c r="M289" s="25"/>
      <c r="N289" s="5"/>
      <c r="O289" s="5"/>
      <c r="P289" s="5"/>
      <c r="Q289" s="5"/>
    </row>
    <row r="290" spans="1:17" ht="15" customHeight="1" x14ac:dyDescent="0.25">
      <c r="A290" s="1431"/>
      <c r="B290" s="1434"/>
      <c r="C290" s="1423"/>
      <c r="D290" s="1423"/>
      <c r="E290" s="1420"/>
      <c r="F290" s="311">
        <v>13.3</v>
      </c>
      <c r="G290" s="317" t="s">
        <v>152</v>
      </c>
      <c r="H290" s="318" t="s">
        <v>153</v>
      </c>
      <c r="I290" s="318" t="s">
        <v>142</v>
      </c>
      <c r="J290" s="319">
        <f>ROUND((F290*D284/3600)*(1-I290),4)</f>
        <v>2.3599999999999999E-2</v>
      </c>
      <c r="K290" s="319">
        <f>ROUND((F290*E284/1000000)*(1-I290),4)</f>
        <v>7.3000000000000001E-3</v>
      </c>
      <c r="L290" s="25">
        <f>SUM(J284:J290)</f>
        <v>5.663E-2</v>
      </c>
      <c r="M290" s="25">
        <f>SUM(K284:K290)</f>
        <v>1.7510000000000001E-2</v>
      </c>
      <c r="N290" s="924"/>
      <c r="O290" s="5"/>
      <c r="P290" s="5"/>
      <c r="Q290" s="5"/>
    </row>
    <row r="291" spans="1:17" ht="15" customHeight="1" x14ac:dyDescent="0.25">
      <c r="A291" s="1411" t="s">
        <v>255</v>
      </c>
      <c r="B291" s="1411"/>
      <c r="C291" s="1411"/>
      <c r="D291" s="1411"/>
      <c r="E291" s="1411"/>
      <c r="F291" s="1411"/>
      <c r="G291" s="1411"/>
      <c r="H291" s="1411"/>
      <c r="I291" s="1411"/>
      <c r="J291" s="1411"/>
      <c r="K291" s="1411"/>
      <c r="L291" s="108"/>
      <c r="M291" s="108"/>
      <c r="N291" s="4"/>
      <c r="O291" s="4"/>
      <c r="P291" s="5"/>
      <c r="Q291" s="5"/>
    </row>
    <row r="292" spans="1:17" ht="15" customHeight="1" x14ac:dyDescent="0.25">
      <c r="A292" s="1412" t="s">
        <v>443</v>
      </c>
      <c r="B292" s="1415" t="s">
        <v>138</v>
      </c>
      <c r="C292" s="1418" t="s">
        <v>139</v>
      </c>
      <c r="D292" s="1418">
        <v>2.69</v>
      </c>
      <c r="E292" s="1418">
        <v>1154.5</v>
      </c>
      <c r="F292" s="7">
        <v>0.75</v>
      </c>
      <c r="G292" s="203" t="s">
        <v>140</v>
      </c>
      <c r="H292" s="204" t="s">
        <v>141</v>
      </c>
      <c r="I292" s="204" t="s">
        <v>142</v>
      </c>
      <c r="J292" s="202">
        <f>ROUND(F292*D292/3600,5)</f>
        <v>5.5999999999999995E-4</v>
      </c>
      <c r="K292" s="202">
        <f>ROUND(F292*E292/1000000,5)</f>
        <v>8.7000000000000001E-4</v>
      </c>
      <c r="L292" s="25"/>
      <c r="M292" s="25"/>
      <c r="N292" s="5"/>
      <c r="O292" s="5"/>
      <c r="P292" s="5"/>
      <c r="Q292" s="5"/>
    </row>
    <row r="293" spans="1:17" ht="15" customHeight="1" x14ac:dyDescent="0.25">
      <c r="A293" s="1413"/>
      <c r="B293" s="1416"/>
      <c r="C293" s="1419"/>
      <c r="D293" s="1419"/>
      <c r="E293" s="1419"/>
      <c r="F293" s="7">
        <v>1.5</v>
      </c>
      <c r="G293" s="206" t="s">
        <v>143</v>
      </c>
      <c r="H293" s="205" t="s">
        <v>144</v>
      </c>
      <c r="I293" s="204" t="s">
        <v>142</v>
      </c>
      <c r="J293" s="202">
        <f>ROUND((F293*D292/3600)*(1-I293),5)</f>
        <v>1.1199999999999999E-3</v>
      </c>
      <c r="K293" s="202">
        <f>ROUND((F293*E292/1000000)*(1-I293),4)</f>
        <v>1.6999999999999999E-3</v>
      </c>
      <c r="L293" s="25"/>
      <c r="M293" s="25"/>
      <c r="N293" s="5"/>
      <c r="O293" s="5"/>
      <c r="P293" s="5"/>
      <c r="Q293" s="5"/>
    </row>
    <row r="294" spans="1:17" ht="15" customHeight="1" x14ac:dyDescent="0.25">
      <c r="A294" s="1413"/>
      <c r="B294" s="1416"/>
      <c r="C294" s="1419"/>
      <c r="D294" s="1419"/>
      <c r="E294" s="1419"/>
      <c r="F294" s="7">
        <v>0.92</v>
      </c>
      <c r="G294" s="203" t="s">
        <v>145</v>
      </c>
      <c r="H294" s="204" t="s">
        <v>146</v>
      </c>
      <c r="I294" s="204" t="s">
        <v>142</v>
      </c>
      <c r="J294" s="202">
        <f>ROUND((F294*D292/3600)*(1-I294),5)</f>
        <v>6.8999999999999997E-4</v>
      </c>
      <c r="K294" s="202">
        <f>ROUND((F294*E292/1000000)*(1-I294),5)</f>
        <v>1.06E-3</v>
      </c>
      <c r="L294" s="25"/>
      <c r="M294" s="25"/>
      <c r="N294" s="5"/>
      <c r="O294" s="5"/>
      <c r="P294" s="5"/>
      <c r="Q294" s="5"/>
    </row>
    <row r="295" spans="1:17" ht="15" customHeight="1" x14ac:dyDescent="0.25">
      <c r="A295" s="1413"/>
      <c r="B295" s="1416"/>
      <c r="C295" s="1419"/>
      <c r="D295" s="1419"/>
      <c r="E295" s="1419"/>
      <c r="F295" s="7">
        <v>3.3</v>
      </c>
      <c r="G295" s="203" t="s">
        <v>147</v>
      </c>
      <c r="H295" s="204" t="s">
        <v>148</v>
      </c>
      <c r="I295" s="204" t="s">
        <v>142</v>
      </c>
      <c r="J295" s="202">
        <f>ROUND((F295*D292/3600)*(1-I295),4)</f>
        <v>2.5000000000000001E-3</v>
      </c>
      <c r="K295" s="202">
        <f>ROUND((F295*E292/1000000)*(1-I295),4)</f>
        <v>3.8E-3</v>
      </c>
      <c r="L295" s="25"/>
      <c r="M295" s="25"/>
      <c r="N295" s="5"/>
      <c r="O295" s="5"/>
      <c r="P295" s="5"/>
      <c r="Q295" s="5"/>
    </row>
    <row r="296" spans="1:17" ht="15" customHeight="1" x14ac:dyDescent="0.25">
      <c r="A296" s="1413"/>
      <c r="B296" s="1416"/>
      <c r="C296" s="1419"/>
      <c r="D296" s="1419"/>
      <c r="E296" s="1419"/>
      <c r="F296" s="7">
        <v>10.69</v>
      </c>
      <c r="G296" s="203" t="s">
        <v>149</v>
      </c>
      <c r="H296" s="204" t="s">
        <v>150</v>
      </c>
      <c r="I296" s="204" t="s">
        <v>142</v>
      </c>
      <c r="J296" s="202">
        <f>ROUND((F296*D292/3600)*(1-I296),4)</f>
        <v>8.0000000000000002E-3</v>
      </c>
      <c r="K296" s="202">
        <f>ROUND((F296*E292/1000000)*(1-I296),4)</f>
        <v>1.23E-2</v>
      </c>
      <c r="L296" s="25"/>
      <c r="M296" s="25"/>
      <c r="N296" s="5"/>
      <c r="O296" s="5"/>
      <c r="P296" s="5"/>
      <c r="Q296" s="5"/>
    </row>
    <row r="297" spans="1:17" ht="15" customHeight="1" x14ac:dyDescent="0.25">
      <c r="A297" s="1413"/>
      <c r="B297" s="1416"/>
      <c r="C297" s="1419"/>
      <c r="D297" s="1419"/>
      <c r="E297" s="1419"/>
      <c r="F297" s="7">
        <v>1.4</v>
      </c>
      <c r="G297" s="207" t="s">
        <v>151</v>
      </c>
      <c r="H297" s="23">
        <v>2908</v>
      </c>
      <c r="I297" s="204" t="s">
        <v>142</v>
      </c>
      <c r="J297" s="202">
        <f>ROUND((F297*D292/3600)*(1-I297),5)</f>
        <v>1.0499999999999999E-3</v>
      </c>
      <c r="K297" s="202">
        <f>ROUND((F297*E292/1000000)*(1-I297),4)</f>
        <v>1.6000000000000001E-3</v>
      </c>
      <c r="L297" s="25"/>
      <c r="M297" s="25"/>
      <c r="N297" s="5"/>
      <c r="O297" s="5"/>
      <c r="P297" s="5"/>
      <c r="Q297" s="5"/>
    </row>
    <row r="298" spans="1:17" ht="15" customHeight="1" x14ac:dyDescent="0.25">
      <c r="A298" s="1414"/>
      <c r="B298" s="1417"/>
      <c r="C298" s="1420"/>
      <c r="D298" s="1420"/>
      <c r="E298" s="1420"/>
      <c r="F298" s="7">
        <v>13.3</v>
      </c>
      <c r="G298" s="203" t="s">
        <v>152</v>
      </c>
      <c r="H298" s="204" t="s">
        <v>153</v>
      </c>
      <c r="I298" s="204" t="s">
        <v>142</v>
      </c>
      <c r="J298" s="202">
        <f>ROUND((F298*D292/3600)*(1-I298),4)</f>
        <v>9.9000000000000008E-3</v>
      </c>
      <c r="K298" s="202">
        <f>ROUND((F298*E292/1000000)*(1-I298),4)</f>
        <v>1.54E-2</v>
      </c>
      <c r="L298" s="25">
        <f>SUM(J292:J298)</f>
        <v>2.3820000000000001E-2</v>
      </c>
      <c r="M298" s="25">
        <f>SUM(K292:K298)</f>
        <v>3.6729999999999999E-2</v>
      </c>
      <c r="N298" s="924"/>
      <c r="O298" s="5"/>
      <c r="P298" s="5"/>
      <c r="Q298" s="5"/>
    </row>
    <row r="299" spans="1:17" ht="15" customHeight="1" x14ac:dyDescent="0.25">
      <c r="A299" s="1428" t="s">
        <v>257</v>
      </c>
      <c r="B299" s="1428"/>
      <c r="C299" s="1428"/>
      <c r="D299" s="1428"/>
      <c r="E299" s="1428"/>
      <c r="F299" s="1428"/>
      <c r="G299" s="1428"/>
      <c r="H299" s="1428"/>
      <c r="I299" s="1428"/>
      <c r="J299" s="1428"/>
      <c r="K299" s="1428"/>
      <c r="L299" s="108"/>
      <c r="M299" s="108"/>
      <c r="N299" s="4"/>
      <c r="O299" s="4"/>
      <c r="P299" s="5"/>
      <c r="Q299" s="5"/>
    </row>
    <row r="300" spans="1:17" ht="15" customHeight="1" x14ac:dyDescent="0.25">
      <c r="A300" s="1429" t="s">
        <v>451</v>
      </c>
      <c r="B300" s="1432" t="s">
        <v>138</v>
      </c>
      <c r="C300" s="1421" t="s">
        <v>139</v>
      </c>
      <c r="D300" s="1421">
        <v>9.27</v>
      </c>
      <c r="E300" s="1418">
        <v>9278.7999999999993</v>
      </c>
      <c r="F300" s="311">
        <v>0.75</v>
      </c>
      <c r="G300" s="317" t="s">
        <v>140</v>
      </c>
      <c r="H300" s="318" t="s">
        <v>141</v>
      </c>
      <c r="I300" s="318" t="s">
        <v>142</v>
      </c>
      <c r="J300" s="319">
        <f>ROUND(F300*D300/3600,4)</f>
        <v>1.9E-3</v>
      </c>
      <c r="K300" s="319">
        <f>ROUND(F300*E300/1000000,4)</f>
        <v>7.0000000000000001E-3</v>
      </c>
      <c r="L300" s="25"/>
      <c r="M300" s="25"/>
      <c r="N300" s="5"/>
      <c r="O300" s="5"/>
      <c r="P300" s="5"/>
      <c r="Q300" s="5"/>
    </row>
    <row r="301" spans="1:17" ht="15" customHeight="1" x14ac:dyDescent="0.25">
      <c r="A301" s="1430"/>
      <c r="B301" s="1433"/>
      <c r="C301" s="1422"/>
      <c r="D301" s="1422"/>
      <c r="E301" s="1419"/>
      <c r="F301" s="311">
        <v>1.5</v>
      </c>
      <c r="G301" s="321" t="s">
        <v>143</v>
      </c>
      <c r="H301" s="320" t="s">
        <v>144</v>
      </c>
      <c r="I301" s="318" t="s">
        <v>142</v>
      </c>
      <c r="J301" s="319">
        <f>ROUND((F301*D300/3600)*(1-I301),4)</f>
        <v>3.8999999999999998E-3</v>
      </c>
      <c r="K301" s="319">
        <f>ROUND((F301*E300/1000000)*(1-I301),4)</f>
        <v>1.3899999999999999E-2</v>
      </c>
      <c r="L301" s="25"/>
      <c r="M301" s="25"/>
      <c r="N301" s="5"/>
      <c r="O301" s="5"/>
      <c r="P301" s="5"/>
      <c r="Q301" s="5"/>
    </row>
    <row r="302" spans="1:17" ht="15" customHeight="1" x14ac:dyDescent="0.25">
      <c r="A302" s="1430"/>
      <c r="B302" s="1433"/>
      <c r="C302" s="1422"/>
      <c r="D302" s="1422"/>
      <c r="E302" s="1419"/>
      <c r="F302" s="311">
        <v>0.92</v>
      </c>
      <c r="G302" s="317" t="s">
        <v>145</v>
      </c>
      <c r="H302" s="318" t="s">
        <v>146</v>
      </c>
      <c r="I302" s="318" t="s">
        <v>142</v>
      </c>
      <c r="J302" s="319">
        <f>ROUND((F302*D300/3600)*(1-I302),4)</f>
        <v>2.3999999999999998E-3</v>
      </c>
      <c r="K302" s="319">
        <f>ROUND((F302*E300/1000000)*(1-I302),4)</f>
        <v>8.5000000000000006E-3</v>
      </c>
      <c r="L302" s="25"/>
      <c r="M302" s="25"/>
      <c r="N302" s="5"/>
      <c r="O302" s="5"/>
      <c r="P302" s="5"/>
      <c r="Q302" s="5"/>
    </row>
    <row r="303" spans="1:17" ht="15" customHeight="1" x14ac:dyDescent="0.25">
      <c r="A303" s="1430"/>
      <c r="B303" s="1433"/>
      <c r="C303" s="1422"/>
      <c r="D303" s="1422"/>
      <c r="E303" s="1419"/>
      <c r="F303" s="311">
        <v>3.3</v>
      </c>
      <c r="G303" s="317" t="s">
        <v>147</v>
      </c>
      <c r="H303" s="318" t="s">
        <v>148</v>
      </c>
      <c r="I303" s="318" t="s">
        <v>142</v>
      </c>
      <c r="J303" s="319">
        <f>ROUND((F303*D300/3600)*(1-I303),4)</f>
        <v>8.5000000000000006E-3</v>
      </c>
      <c r="K303" s="319">
        <f>ROUND((F303*E300/1000000)*(1-I303),4)</f>
        <v>3.0599999999999999E-2</v>
      </c>
      <c r="L303" s="25"/>
      <c r="M303" s="25"/>
      <c r="N303" s="5"/>
      <c r="O303" s="5"/>
      <c r="P303" s="5"/>
      <c r="Q303" s="5"/>
    </row>
    <row r="304" spans="1:17" ht="15" customHeight="1" x14ac:dyDescent="0.25">
      <c r="A304" s="1430"/>
      <c r="B304" s="1433"/>
      <c r="C304" s="1422"/>
      <c r="D304" s="1422"/>
      <c r="E304" s="1419"/>
      <c r="F304" s="311">
        <v>10.69</v>
      </c>
      <c r="G304" s="317" t="s">
        <v>149</v>
      </c>
      <c r="H304" s="318" t="s">
        <v>150</v>
      </c>
      <c r="I304" s="318" t="s">
        <v>142</v>
      </c>
      <c r="J304" s="319">
        <f>ROUND((F304*D300/3600)*(1-I304),4)</f>
        <v>2.75E-2</v>
      </c>
      <c r="K304" s="319">
        <f>ROUND((F304*E300/1000000)*(1-I304),4)</f>
        <v>9.9199999999999997E-2</v>
      </c>
      <c r="L304" s="25"/>
      <c r="M304" s="25"/>
      <c r="N304" s="5"/>
      <c r="O304" s="5"/>
      <c r="P304" s="5"/>
      <c r="Q304" s="5"/>
    </row>
    <row r="305" spans="1:17" ht="15" customHeight="1" x14ac:dyDescent="0.25">
      <c r="A305" s="1430"/>
      <c r="B305" s="1433"/>
      <c r="C305" s="1422"/>
      <c r="D305" s="1422"/>
      <c r="E305" s="1419"/>
      <c r="F305" s="311">
        <v>1.4</v>
      </c>
      <c r="G305" s="322" t="s">
        <v>151</v>
      </c>
      <c r="H305" s="323">
        <v>2908</v>
      </c>
      <c r="I305" s="318" t="s">
        <v>142</v>
      </c>
      <c r="J305" s="319">
        <f>ROUND((F305*D300/3600)*(1-I305),4)</f>
        <v>3.5999999999999999E-3</v>
      </c>
      <c r="K305" s="319">
        <f>ROUND((F305*E300/1000000)*(1-I305),4)</f>
        <v>1.2999999999999999E-2</v>
      </c>
      <c r="L305" s="25"/>
      <c r="M305" s="25"/>
      <c r="N305" s="5"/>
      <c r="O305" s="5"/>
      <c r="P305" s="5"/>
      <c r="Q305" s="5"/>
    </row>
    <row r="306" spans="1:17" ht="15" customHeight="1" x14ac:dyDescent="0.25">
      <c r="A306" s="1431"/>
      <c r="B306" s="1434"/>
      <c r="C306" s="1423"/>
      <c r="D306" s="1423"/>
      <c r="E306" s="1420"/>
      <c r="F306" s="311">
        <v>13.3</v>
      </c>
      <c r="G306" s="317" t="s">
        <v>152</v>
      </c>
      <c r="H306" s="318" t="s">
        <v>153</v>
      </c>
      <c r="I306" s="318" t="s">
        <v>142</v>
      </c>
      <c r="J306" s="319">
        <f>ROUND((F306*D300/3600)*(1-I306),4)</f>
        <v>3.4200000000000001E-2</v>
      </c>
      <c r="K306" s="319">
        <f>ROUND((F306*E300/1000000)*(1-I306),4)</f>
        <v>0.1234</v>
      </c>
      <c r="L306" s="25">
        <f>SUM(J300:J306)</f>
        <v>8.2000000000000003E-2</v>
      </c>
      <c r="M306" s="25">
        <f>SUM(K300:K306)</f>
        <v>0.29560000000000003</v>
      </c>
      <c r="N306" s="924"/>
      <c r="O306" s="5"/>
      <c r="P306" s="5"/>
      <c r="Q306" s="5"/>
    </row>
    <row r="307" spans="1:17" ht="15" customHeight="1" x14ac:dyDescent="0.25">
      <c r="A307" s="1411" t="s">
        <v>261</v>
      </c>
      <c r="B307" s="1411"/>
      <c r="C307" s="1411"/>
      <c r="D307" s="1411"/>
      <c r="E307" s="1411"/>
      <c r="F307" s="1411"/>
      <c r="G307" s="1411"/>
      <c r="H307" s="1411"/>
      <c r="I307" s="1411"/>
      <c r="J307" s="1411"/>
      <c r="K307" s="1411"/>
      <c r="L307" s="108"/>
      <c r="M307" s="108"/>
      <c r="N307" s="4"/>
      <c r="O307" s="4"/>
      <c r="P307" s="5"/>
      <c r="Q307" s="5"/>
    </row>
    <row r="308" spans="1:17" ht="15" customHeight="1" x14ac:dyDescent="0.25">
      <c r="A308" s="1412" t="s">
        <v>467</v>
      </c>
      <c r="B308" s="1415" t="s">
        <v>138</v>
      </c>
      <c r="C308" s="1418" t="s">
        <v>139</v>
      </c>
      <c r="D308" s="1418">
        <v>5.78</v>
      </c>
      <c r="E308" s="1418">
        <v>3306.9</v>
      </c>
      <c r="F308" s="7">
        <v>0.75</v>
      </c>
      <c r="G308" s="203" t="s">
        <v>140</v>
      </c>
      <c r="H308" s="204" t="s">
        <v>141</v>
      </c>
      <c r="I308" s="204" t="s">
        <v>142</v>
      </c>
      <c r="J308" s="202">
        <f>ROUND(F308*D308/3600,4)</f>
        <v>1.1999999999999999E-3</v>
      </c>
      <c r="K308" s="202">
        <f>ROUND(F308*E308/1000000,4)</f>
        <v>2.5000000000000001E-3</v>
      </c>
      <c r="L308" s="25"/>
      <c r="M308" s="25"/>
      <c r="N308" s="5"/>
      <c r="O308" s="5"/>
      <c r="P308" s="5"/>
      <c r="Q308" s="5"/>
    </row>
    <row r="309" spans="1:17" ht="15" customHeight="1" x14ac:dyDescent="0.25">
      <c r="A309" s="1413"/>
      <c r="B309" s="1416"/>
      <c r="C309" s="1419"/>
      <c r="D309" s="1419"/>
      <c r="E309" s="1419"/>
      <c r="F309" s="7">
        <v>1.5</v>
      </c>
      <c r="G309" s="206" t="s">
        <v>143</v>
      </c>
      <c r="H309" s="205" t="s">
        <v>144</v>
      </c>
      <c r="I309" s="204" t="s">
        <v>142</v>
      </c>
      <c r="J309" s="202">
        <f>ROUND((F309*D308/3600)*(1-I309),4)</f>
        <v>2.3999999999999998E-3</v>
      </c>
      <c r="K309" s="202">
        <f>ROUND((F309*E308/1000000)*(1-I309),4)</f>
        <v>5.0000000000000001E-3</v>
      </c>
      <c r="L309" s="25"/>
      <c r="M309" s="25"/>
      <c r="N309" s="5"/>
      <c r="O309" s="5"/>
      <c r="P309" s="5"/>
      <c r="Q309" s="5"/>
    </row>
    <row r="310" spans="1:17" ht="15" customHeight="1" x14ac:dyDescent="0.25">
      <c r="A310" s="1413"/>
      <c r="B310" s="1416"/>
      <c r="C310" s="1419"/>
      <c r="D310" s="1419"/>
      <c r="E310" s="1419"/>
      <c r="F310" s="7">
        <v>0.92</v>
      </c>
      <c r="G310" s="203" t="s">
        <v>145</v>
      </c>
      <c r="H310" s="204" t="s">
        <v>146</v>
      </c>
      <c r="I310" s="204" t="s">
        <v>142</v>
      </c>
      <c r="J310" s="202">
        <f>ROUND((F310*D308/3600)*(1-I310),4)</f>
        <v>1.5E-3</v>
      </c>
      <c r="K310" s="202">
        <f>ROUND((F310*E308/1000000)*(1-I310),4)</f>
        <v>3.0000000000000001E-3</v>
      </c>
      <c r="L310" s="25"/>
      <c r="M310" s="25"/>
      <c r="N310" s="5"/>
      <c r="O310" s="5"/>
      <c r="P310" s="5"/>
      <c r="Q310" s="5"/>
    </row>
    <row r="311" spans="1:17" ht="15" customHeight="1" x14ac:dyDescent="0.25">
      <c r="A311" s="1413"/>
      <c r="B311" s="1416"/>
      <c r="C311" s="1419"/>
      <c r="D311" s="1419"/>
      <c r="E311" s="1419"/>
      <c r="F311" s="7">
        <v>3.3</v>
      </c>
      <c r="G311" s="203" t="s">
        <v>147</v>
      </c>
      <c r="H311" s="204" t="s">
        <v>148</v>
      </c>
      <c r="I311" s="204" t="s">
        <v>142</v>
      </c>
      <c r="J311" s="202">
        <f>ROUND((F311*D308/3600)*(1-I311),4)</f>
        <v>5.3E-3</v>
      </c>
      <c r="K311" s="202">
        <f>ROUND((F311*E308/1000000)*(1-I311),4)</f>
        <v>1.09E-2</v>
      </c>
      <c r="L311" s="25"/>
      <c r="M311" s="25"/>
      <c r="N311" s="5"/>
      <c r="O311" s="5"/>
      <c r="P311" s="5"/>
      <c r="Q311" s="5"/>
    </row>
    <row r="312" spans="1:17" ht="15" customHeight="1" x14ac:dyDescent="0.25">
      <c r="A312" s="1413"/>
      <c r="B312" s="1416"/>
      <c r="C312" s="1419"/>
      <c r="D312" s="1419"/>
      <c r="E312" s="1419"/>
      <c r="F312" s="7">
        <v>10.69</v>
      </c>
      <c r="G312" s="203" t="s">
        <v>149</v>
      </c>
      <c r="H312" s="204" t="s">
        <v>150</v>
      </c>
      <c r="I312" s="204" t="s">
        <v>142</v>
      </c>
      <c r="J312" s="202">
        <f>ROUND((F312*D308/3600)*(1-I312),4)</f>
        <v>1.72E-2</v>
      </c>
      <c r="K312" s="202">
        <f>ROUND((F312*E308/1000000)*(1-I312),4)</f>
        <v>3.5400000000000001E-2</v>
      </c>
      <c r="L312" s="25"/>
      <c r="M312" s="25"/>
      <c r="N312" s="5"/>
      <c r="O312" s="5"/>
      <c r="P312" s="5"/>
      <c r="Q312" s="5"/>
    </row>
    <row r="313" spans="1:17" ht="15" customHeight="1" x14ac:dyDescent="0.25">
      <c r="A313" s="1413"/>
      <c r="B313" s="1416"/>
      <c r="C313" s="1419"/>
      <c r="D313" s="1419"/>
      <c r="E313" s="1419"/>
      <c r="F313" s="7">
        <v>1.4</v>
      </c>
      <c r="G313" s="207" t="s">
        <v>151</v>
      </c>
      <c r="H313" s="23">
        <v>2908</v>
      </c>
      <c r="I313" s="204" t="s">
        <v>142</v>
      </c>
      <c r="J313" s="202">
        <f>ROUND((F313*D308/3600)*(1-I313),4)</f>
        <v>2.2000000000000001E-3</v>
      </c>
      <c r="K313" s="202">
        <f>ROUND((F313*E308/1000000)*(1-I313),4)</f>
        <v>4.5999999999999999E-3</v>
      </c>
      <c r="L313" s="25"/>
      <c r="M313" s="25"/>
      <c r="N313" s="5"/>
      <c r="O313" s="5"/>
      <c r="P313" s="5"/>
      <c r="Q313" s="5"/>
    </row>
    <row r="314" spans="1:17" ht="15" customHeight="1" x14ac:dyDescent="0.25">
      <c r="A314" s="1414"/>
      <c r="B314" s="1417"/>
      <c r="C314" s="1420"/>
      <c r="D314" s="1420"/>
      <c r="E314" s="1420"/>
      <c r="F314" s="7">
        <v>13.3</v>
      </c>
      <c r="G314" s="203" t="s">
        <v>152</v>
      </c>
      <c r="H314" s="204" t="s">
        <v>153</v>
      </c>
      <c r="I314" s="204" t="s">
        <v>142</v>
      </c>
      <c r="J314" s="202">
        <f>ROUND((F314*D308/3600)*(1-I314),4)</f>
        <v>2.1399999999999999E-2</v>
      </c>
      <c r="K314" s="202">
        <f>ROUND((F314*E308/1000000)*(1-I314),4)</f>
        <v>4.3999999999999997E-2</v>
      </c>
      <c r="L314" s="25">
        <f>SUM(J308:J314)</f>
        <v>5.1199999999999996E-2</v>
      </c>
      <c r="M314" s="25">
        <f>SUM(K308:K314)</f>
        <v>0.10539999999999999</v>
      </c>
      <c r="N314" s="924"/>
      <c r="O314" s="5"/>
      <c r="P314" s="5"/>
      <c r="Q314" s="5"/>
    </row>
    <row r="315" spans="1:17" ht="15" customHeight="1" x14ac:dyDescent="0.25">
      <c r="A315" s="1411" t="s">
        <v>264</v>
      </c>
      <c r="B315" s="1411"/>
      <c r="C315" s="1411"/>
      <c r="D315" s="1411"/>
      <c r="E315" s="1411"/>
      <c r="F315" s="1411"/>
      <c r="G315" s="1411"/>
      <c r="H315" s="1411"/>
      <c r="I315" s="1411"/>
      <c r="J315" s="1411"/>
      <c r="K315" s="1411"/>
      <c r="L315" s="108"/>
      <c r="M315" s="108"/>
      <c r="N315" s="4"/>
      <c r="O315" s="4"/>
      <c r="P315" s="5"/>
      <c r="Q315" s="5"/>
    </row>
    <row r="316" spans="1:17" ht="15" customHeight="1" x14ac:dyDescent="0.25">
      <c r="A316" s="1412" t="s">
        <v>477</v>
      </c>
      <c r="B316" s="1415" t="s">
        <v>138</v>
      </c>
      <c r="C316" s="1418" t="s">
        <v>139</v>
      </c>
      <c r="D316" s="1418">
        <v>10.23</v>
      </c>
      <c r="E316" s="1418">
        <v>2924.7</v>
      </c>
      <c r="F316" s="7">
        <v>0.75</v>
      </c>
      <c r="G316" s="203" t="s">
        <v>140</v>
      </c>
      <c r="H316" s="204" t="s">
        <v>141</v>
      </c>
      <c r="I316" s="204" t="s">
        <v>142</v>
      </c>
      <c r="J316" s="202">
        <f>ROUND(F316*D316/3600,4)</f>
        <v>2.0999999999999999E-3</v>
      </c>
      <c r="K316" s="202">
        <f>ROUND(F316*E316/1000000,4)</f>
        <v>2.2000000000000001E-3</v>
      </c>
      <c r="L316" s="25"/>
      <c r="M316" s="25"/>
      <c r="N316" s="5"/>
      <c r="O316" s="5"/>
      <c r="P316" s="5"/>
      <c r="Q316" s="5"/>
    </row>
    <row r="317" spans="1:17" ht="15" customHeight="1" x14ac:dyDescent="0.25">
      <c r="A317" s="1413"/>
      <c r="B317" s="1416"/>
      <c r="C317" s="1419"/>
      <c r="D317" s="1419"/>
      <c r="E317" s="1419"/>
      <c r="F317" s="7">
        <v>1.5</v>
      </c>
      <c r="G317" s="206" t="s">
        <v>143</v>
      </c>
      <c r="H317" s="205" t="s">
        <v>144</v>
      </c>
      <c r="I317" s="204" t="s">
        <v>142</v>
      </c>
      <c r="J317" s="202">
        <f>ROUND((F317*D316/3600)*(1-I317),4)</f>
        <v>4.3E-3</v>
      </c>
      <c r="K317" s="202">
        <f>ROUND((F317*E316/1000000)*(1-I317),4)</f>
        <v>4.4000000000000003E-3</v>
      </c>
      <c r="L317" s="25"/>
      <c r="M317" s="25"/>
      <c r="N317" s="5"/>
      <c r="O317" s="5"/>
      <c r="P317" s="5"/>
      <c r="Q317" s="5"/>
    </row>
    <row r="318" spans="1:17" ht="15" customHeight="1" x14ac:dyDescent="0.25">
      <c r="A318" s="1413"/>
      <c r="B318" s="1416"/>
      <c r="C318" s="1419"/>
      <c r="D318" s="1419"/>
      <c r="E318" s="1419"/>
      <c r="F318" s="7">
        <v>0.92</v>
      </c>
      <c r="G318" s="203" t="s">
        <v>145</v>
      </c>
      <c r="H318" s="204" t="s">
        <v>146</v>
      </c>
      <c r="I318" s="204" t="s">
        <v>142</v>
      </c>
      <c r="J318" s="202">
        <f>ROUND((F318*D316/3600)*(1-I318),4)</f>
        <v>2.5999999999999999E-3</v>
      </c>
      <c r="K318" s="202">
        <f>ROUND((F318*E316/1000000)*(1-I318),4)</f>
        <v>2.7000000000000001E-3</v>
      </c>
      <c r="L318" s="25"/>
      <c r="M318" s="25"/>
      <c r="N318" s="5"/>
      <c r="O318" s="5"/>
      <c r="P318" s="5"/>
      <c r="Q318" s="5"/>
    </row>
    <row r="319" spans="1:17" ht="15" customHeight="1" x14ac:dyDescent="0.25">
      <c r="A319" s="1413"/>
      <c r="B319" s="1416"/>
      <c r="C319" s="1419"/>
      <c r="D319" s="1419"/>
      <c r="E319" s="1419"/>
      <c r="F319" s="7">
        <v>3.3</v>
      </c>
      <c r="G319" s="203" t="s">
        <v>147</v>
      </c>
      <c r="H319" s="204" t="s">
        <v>148</v>
      </c>
      <c r="I319" s="204" t="s">
        <v>142</v>
      </c>
      <c r="J319" s="202">
        <f>ROUND((F319*D316/3600)*(1-I319),4)</f>
        <v>9.4000000000000004E-3</v>
      </c>
      <c r="K319" s="202">
        <f>ROUND((F319*E316/1000000)*(1-I319),4)</f>
        <v>9.7000000000000003E-3</v>
      </c>
      <c r="L319" s="25"/>
      <c r="M319" s="25"/>
      <c r="N319" s="5"/>
      <c r="O319" s="5"/>
      <c r="P319" s="5"/>
      <c r="Q319" s="5"/>
    </row>
    <row r="320" spans="1:17" ht="15" customHeight="1" x14ac:dyDescent="0.25">
      <c r="A320" s="1413"/>
      <c r="B320" s="1416"/>
      <c r="C320" s="1419"/>
      <c r="D320" s="1419"/>
      <c r="E320" s="1419"/>
      <c r="F320" s="7">
        <v>10.69</v>
      </c>
      <c r="G320" s="203" t="s">
        <v>149</v>
      </c>
      <c r="H320" s="204" t="s">
        <v>150</v>
      </c>
      <c r="I320" s="204" t="s">
        <v>142</v>
      </c>
      <c r="J320" s="202">
        <f>ROUND((F320*D316/3600)*(1-I320),4)</f>
        <v>3.04E-2</v>
      </c>
      <c r="K320" s="202">
        <f>ROUND((F320*E316/1000000)*(1-I320),4)</f>
        <v>3.1300000000000001E-2</v>
      </c>
      <c r="L320" s="25"/>
      <c r="M320" s="25"/>
      <c r="N320" s="5"/>
      <c r="O320" s="5"/>
      <c r="P320" s="5"/>
      <c r="Q320" s="5"/>
    </row>
    <row r="321" spans="1:17" ht="15" customHeight="1" x14ac:dyDescent="0.25">
      <c r="A321" s="1413"/>
      <c r="B321" s="1416"/>
      <c r="C321" s="1419"/>
      <c r="D321" s="1419"/>
      <c r="E321" s="1419"/>
      <c r="F321" s="7">
        <v>1.4</v>
      </c>
      <c r="G321" s="207" t="s">
        <v>151</v>
      </c>
      <c r="H321" s="23">
        <v>2908</v>
      </c>
      <c r="I321" s="204" t="s">
        <v>142</v>
      </c>
      <c r="J321" s="202">
        <f>ROUND((F321*D316/3600)*(1-I321),4)</f>
        <v>4.0000000000000001E-3</v>
      </c>
      <c r="K321" s="202">
        <f>ROUND((F321*E316/1000000)*(1-I321),4)</f>
        <v>4.1000000000000003E-3</v>
      </c>
      <c r="L321" s="25"/>
      <c r="M321" s="25"/>
      <c r="N321" s="5"/>
      <c r="O321" s="5"/>
      <c r="P321" s="5"/>
      <c r="Q321" s="5"/>
    </row>
    <row r="322" spans="1:17" ht="15" customHeight="1" x14ac:dyDescent="0.25">
      <c r="A322" s="1414"/>
      <c r="B322" s="1417"/>
      <c r="C322" s="1420"/>
      <c r="D322" s="1420"/>
      <c r="E322" s="1420"/>
      <c r="F322" s="7">
        <v>13.3</v>
      </c>
      <c r="G322" s="203" t="s">
        <v>152</v>
      </c>
      <c r="H322" s="204" t="s">
        <v>153</v>
      </c>
      <c r="I322" s="204" t="s">
        <v>142</v>
      </c>
      <c r="J322" s="202">
        <f>ROUND((F322*D316/3600)*(1-I322),4)</f>
        <v>3.78E-2</v>
      </c>
      <c r="K322" s="202">
        <f>ROUND((F322*E316/1000000)*(1-I322),4)</f>
        <v>3.8899999999999997E-2</v>
      </c>
      <c r="L322" s="25">
        <f>SUM(J316:J322)</f>
        <v>9.06E-2</v>
      </c>
      <c r="M322" s="25">
        <f>SUM(K316:K322)</f>
        <v>9.3299999999999994E-2</v>
      </c>
      <c r="N322" s="924"/>
      <c r="O322" s="5"/>
      <c r="P322" s="5"/>
      <c r="Q322" s="5"/>
    </row>
    <row r="323" spans="1:17" ht="15" customHeight="1" x14ac:dyDescent="0.25">
      <c r="A323" s="1411" t="s">
        <v>276</v>
      </c>
      <c r="B323" s="1411"/>
      <c r="C323" s="1411"/>
      <c r="D323" s="1411"/>
      <c r="E323" s="1411"/>
      <c r="F323" s="1411"/>
      <c r="G323" s="1411"/>
      <c r="H323" s="1411"/>
      <c r="I323" s="1411"/>
      <c r="J323" s="1411"/>
      <c r="K323" s="1411"/>
      <c r="L323" s="108"/>
      <c r="M323" s="108"/>
      <c r="N323" s="4"/>
      <c r="O323" s="4"/>
      <c r="P323" s="5"/>
      <c r="Q323" s="5"/>
    </row>
    <row r="324" spans="1:17" ht="15" customHeight="1" x14ac:dyDescent="0.25">
      <c r="A324" s="1412" t="s">
        <v>487</v>
      </c>
      <c r="B324" s="1415" t="s">
        <v>138</v>
      </c>
      <c r="C324" s="1418" t="s">
        <v>139</v>
      </c>
      <c r="D324" s="1418">
        <v>99.46</v>
      </c>
      <c r="E324" s="1418">
        <v>5687.7</v>
      </c>
      <c r="F324" s="7">
        <v>0.75</v>
      </c>
      <c r="G324" s="203" t="s">
        <v>140</v>
      </c>
      <c r="H324" s="204" t="s">
        <v>141</v>
      </c>
      <c r="I324" s="204" t="s">
        <v>142</v>
      </c>
      <c r="J324" s="202">
        <f>ROUND(F324*D324/3600,4)</f>
        <v>2.07E-2</v>
      </c>
      <c r="K324" s="202">
        <f>ROUND(F324*E324/1000000,4)</f>
        <v>4.3E-3</v>
      </c>
      <c r="L324" s="25"/>
      <c r="M324" s="25"/>
      <c r="N324" s="5"/>
      <c r="O324" s="5"/>
      <c r="P324" s="5"/>
      <c r="Q324" s="5"/>
    </row>
    <row r="325" spans="1:17" ht="15" customHeight="1" x14ac:dyDescent="0.25">
      <c r="A325" s="1413"/>
      <c r="B325" s="1416"/>
      <c r="C325" s="1419"/>
      <c r="D325" s="1419"/>
      <c r="E325" s="1419"/>
      <c r="F325" s="7">
        <v>1.5</v>
      </c>
      <c r="G325" s="206" t="s">
        <v>143</v>
      </c>
      <c r="H325" s="205" t="s">
        <v>144</v>
      </c>
      <c r="I325" s="204" t="s">
        <v>142</v>
      </c>
      <c r="J325" s="202">
        <f>ROUND((F325*D324/3600)*(1-I325),4)</f>
        <v>4.1399999999999999E-2</v>
      </c>
      <c r="K325" s="202">
        <f>ROUND((F325*E324/1000000)*(1-I325),4)</f>
        <v>8.5000000000000006E-3</v>
      </c>
      <c r="L325" s="25"/>
      <c r="M325" s="25"/>
      <c r="N325" s="5"/>
      <c r="O325" s="5"/>
      <c r="P325" s="5"/>
      <c r="Q325" s="5"/>
    </row>
    <row r="326" spans="1:17" ht="15" customHeight="1" x14ac:dyDescent="0.25">
      <c r="A326" s="1413"/>
      <c r="B326" s="1416"/>
      <c r="C326" s="1419"/>
      <c r="D326" s="1419"/>
      <c r="E326" s="1419"/>
      <c r="F326" s="7">
        <v>0.92</v>
      </c>
      <c r="G326" s="203" t="s">
        <v>145</v>
      </c>
      <c r="H326" s="204" t="s">
        <v>146</v>
      </c>
      <c r="I326" s="204" t="s">
        <v>142</v>
      </c>
      <c r="J326" s="202">
        <f>ROUND((F326*D324/3600)*(1-I326),4)</f>
        <v>2.5399999999999999E-2</v>
      </c>
      <c r="K326" s="202">
        <f>ROUND((F326*E324/1000000)*(1-I326),4)</f>
        <v>5.1999999999999998E-3</v>
      </c>
      <c r="L326" s="25"/>
      <c r="M326" s="25"/>
      <c r="N326" s="5"/>
      <c r="O326" s="5"/>
      <c r="P326" s="5"/>
      <c r="Q326" s="5"/>
    </row>
    <row r="327" spans="1:17" ht="15" customHeight="1" x14ac:dyDescent="0.25">
      <c r="A327" s="1413"/>
      <c r="B327" s="1416"/>
      <c r="C327" s="1419"/>
      <c r="D327" s="1419"/>
      <c r="E327" s="1419"/>
      <c r="F327" s="7">
        <v>3.3</v>
      </c>
      <c r="G327" s="203" t="s">
        <v>147</v>
      </c>
      <c r="H327" s="204" t="s">
        <v>148</v>
      </c>
      <c r="I327" s="204" t="s">
        <v>142</v>
      </c>
      <c r="J327" s="202">
        <f>ROUND((F327*D324/3600)*(1-I327),4)</f>
        <v>9.1200000000000003E-2</v>
      </c>
      <c r="K327" s="202">
        <f>ROUND((F327*E324/1000000)*(1-I327),4)</f>
        <v>1.8800000000000001E-2</v>
      </c>
      <c r="L327" s="25"/>
      <c r="M327" s="25"/>
      <c r="N327" s="5"/>
      <c r="O327" s="5"/>
      <c r="P327" s="5"/>
      <c r="Q327" s="5"/>
    </row>
    <row r="328" spans="1:17" ht="15" customHeight="1" x14ac:dyDescent="0.25">
      <c r="A328" s="1413"/>
      <c r="B328" s="1416"/>
      <c r="C328" s="1419"/>
      <c r="D328" s="1419"/>
      <c r="E328" s="1419"/>
      <c r="F328" s="7">
        <v>10.69</v>
      </c>
      <c r="G328" s="203" t="s">
        <v>149</v>
      </c>
      <c r="H328" s="204" t="s">
        <v>150</v>
      </c>
      <c r="I328" s="204" t="s">
        <v>142</v>
      </c>
      <c r="J328" s="202">
        <f>ROUND((F328*D324/3600)*(1-I328),4)</f>
        <v>0.29530000000000001</v>
      </c>
      <c r="K328" s="202">
        <f>ROUND((F328*E324/1000000)*(1-I328),4)</f>
        <v>6.08E-2</v>
      </c>
      <c r="L328" s="25"/>
      <c r="M328" s="25"/>
      <c r="N328" s="5"/>
      <c r="P328" s="5"/>
      <c r="Q328" s="5"/>
    </row>
    <row r="329" spans="1:17" ht="15" customHeight="1" x14ac:dyDescent="0.25">
      <c r="A329" s="1413"/>
      <c r="B329" s="1416"/>
      <c r="C329" s="1419"/>
      <c r="D329" s="1419"/>
      <c r="E329" s="1419"/>
      <c r="F329" s="7">
        <v>1.4</v>
      </c>
      <c r="G329" s="207" t="s">
        <v>151</v>
      </c>
      <c r="H329" s="23">
        <v>2908</v>
      </c>
      <c r="I329" s="204" t="s">
        <v>142</v>
      </c>
      <c r="J329" s="202">
        <f>ROUND((F329*D324/3600)*(1-I329),4)</f>
        <v>3.8699999999999998E-2</v>
      </c>
      <c r="K329" s="202">
        <f>ROUND((F329*E324/1000000)*(1-I329),4)</f>
        <v>8.0000000000000002E-3</v>
      </c>
      <c r="L329" s="25"/>
      <c r="M329" s="25"/>
      <c r="N329" s="5"/>
      <c r="P329" s="5"/>
      <c r="Q329" s="5"/>
    </row>
    <row r="330" spans="1:17" ht="15" customHeight="1" x14ac:dyDescent="0.25">
      <c r="A330" s="1414"/>
      <c r="B330" s="1417"/>
      <c r="C330" s="1420"/>
      <c r="D330" s="1420"/>
      <c r="E330" s="1420"/>
      <c r="F330" s="7">
        <v>13.3</v>
      </c>
      <c r="G330" s="203" t="s">
        <v>152</v>
      </c>
      <c r="H330" s="204" t="s">
        <v>153</v>
      </c>
      <c r="I330" s="204" t="s">
        <v>142</v>
      </c>
      <c r="J330" s="202">
        <f>ROUND((F330*D324/3600)*(1-I330),4)</f>
        <v>0.3674</v>
      </c>
      <c r="K330" s="202">
        <f>ROUND((F330*E324/1000000)*(1-I330),4)</f>
        <v>7.5600000000000001E-2</v>
      </c>
      <c r="L330" s="25">
        <f>SUM(J324:J330)</f>
        <v>0.88009999999999988</v>
      </c>
      <c r="M330" s="25">
        <f>SUM(K324:K330)</f>
        <v>0.1812</v>
      </c>
      <c r="N330" s="924"/>
      <c r="P330" s="5"/>
      <c r="Q330" s="5"/>
    </row>
    <row r="331" spans="1:17" ht="15" customHeight="1" x14ac:dyDescent="0.25">
      <c r="A331" s="1411" t="s">
        <v>284</v>
      </c>
      <c r="B331" s="1411"/>
      <c r="C331" s="1411"/>
      <c r="D331" s="1411"/>
      <c r="E331" s="1411"/>
      <c r="F331" s="1411"/>
      <c r="G331" s="1411"/>
      <c r="H331" s="1411"/>
      <c r="I331" s="1411"/>
      <c r="J331" s="1411"/>
      <c r="K331" s="1411"/>
      <c r="L331" s="109"/>
      <c r="M331" s="109"/>
      <c r="N331" s="4"/>
      <c r="P331" s="5"/>
      <c r="Q331" s="5"/>
    </row>
    <row r="332" spans="1:17" ht="15" customHeight="1" x14ac:dyDescent="0.25">
      <c r="A332" s="1412" t="s">
        <v>498</v>
      </c>
      <c r="B332" s="1415" t="s">
        <v>138</v>
      </c>
      <c r="C332" s="1418" t="s">
        <v>139</v>
      </c>
      <c r="D332" s="1418">
        <v>0.33</v>
      </c>
      <c r="E332" s="1418">
        <v>47.3</v>
      </c>
      <c r="F332" s="7">
        <v>0.75</v>
      </c>
      <c r="G332" s="203" t="s">
        <v>140</v>
      </c>
      <c r="H332" s="204" t="s">
        <v>141</v>
      </c>
      <c r="I332" s="204" t="s">
        <v>142</v>
      </c>
      <c r="J332" s="202">
        <f>ROUND(F332*D332/3600,4)</f>
        <v>1E-4</v>
      </c>
      <c r="K332" s="202">
        <f>ROUND(F332*E332/1000000,5)</f>
        <v>4.0000000000000003E-5</v>
      </c>
      <c r="L332" s="25"/>
      <c r="M332" s="25"/>
      <c r="N332" s="5"/>
      <c r="P332" s="5"/>
      <c r="Q332" s="5"/>
    </row>
    <row r="333" spans="1:17" ht="15" customHeight="1" x14ac:dyDescent="0.25">
      <c r="A333" s="1413"/>
      <c r="B333" s="1416"/>
      <c r="C333" s="1419"/>
      <c r="D333" s="1419"/>
      <c r="E333" s="1419"/>
      <c r="F333" s="7">
        <v>1.5</v>
      </c>
      <c r="G333" s="206" t="s">
        <v>143</v>
      </c>
      <c r="H333" s="205" t="s">
        <v>144</v>
      </c>
      <c r="I333" s="204" t="s">
        <v>142</v>
      </c>
      <c r="J333" s="202">
        <f>ROUND((F333*D332/3600)*(1-I333),4)</f>
        <v>1E-4</v>
      </c>
      <c r="K333" s="202">
        <f>ROUND((F333*E332/1000000)*(1-I333),4)</f>
        <v>1E-4</v>
      </c>
      <c r="L333" s="25"/>
      <c r="M333" s="25"/>
      <c r="N333" s="5"/>
      <c r="P333" s="5"/>
      <c r="Q333" s="5"/>
    </row>
    <row r="334" spans="1:17" ht="15" customHeight="1" x14ac:dyDescent="0.25">
      <c r="A334" s="1413"/>
      <c r="B334" s="1416"/>
      <c r="C334" s="1419"/>
      <c r="D334" s="1419"/>
      <c r="E334" s="1419"/>
      <c r="F334" s="7">
        <v>0.92</v>
      </c>
      <c r="G334" s="203" t="s">
        <v>145</v>
      </c>
      <c r="H334" s="204" t="s">
        <v>146</v>
      </c>
      <c r="I334" s="204" t="s">
        <v>142</v>
      </c>
      <c r="J334" s="202">
        <f>ROUND((F334*D332/3600)*(1-I334),4)</f>
        <v>1E-4</v>
      </c>
      <c r="K334" s="202">
        <f>ROUND((F334*E332/1000000)*(1-I334),5)</f>
        <v>4.0000000000000003E-5</v>
      </c>
      <c r="L334" s="25"/>
      <c r="M334" s="25"/>
      <c r="N334" s="5"/>
      <c r="P334" s="5"/>
      <c r="Q334" s="5"/>
    </row>
    <row r="335" spans="1:17" ht="15" customHeight="1" x14ac:dyDescent="0.25">
      <c r="A335" s="1413"/>
      <c r="B335" s="1416"/>
      <c r="C335" s="1419"/>
      <c r="D335" s="1419"/>
      <c r="E335" s="1419"/>
      <c r="F335" s="7">
        <v>3.3</v>
      </c>
      <c r="G335" s="203" t="s">
        <v>147</v>
      </c>
      <c r="H335" s="204" t="s">
        <v>148</v>
      </c>
      <c r="I335" s="204" t="s">
        <v>142</v>
      </c>
      <c r="J335" s="202">
        <f>ROUND((F335*D332/3600)*(1-I335),4)</f>
        <v>2.9999999999999997E-4</v>
      </c>
      <c r="K335" s="202">
        <f>ROUND((F335*E332/1000000)*(1-I335),4)</f>
        <v>2.0000000000000001E-4</v>
      </c>
      <c r="L335" s="25"/>
      <c r="M335" s="25"/>
      <c r="N335" s="5"/>
      <c r="P335" s="5"/>
      <c r="Q335" s="5"/>
    </row>
    <row r="336" spans="1:17" ht="15" customHeight="1" x14ac:dyDescent="0.25">
      <c r="A336" s="1413"/>
      <c r="B336" s="1416"/>
      <c r="C336" s="1419"/>
      <c r="D336" s="1419"/>
      <c r="E336" s="1419"/>
      <c r="F336" s="7">
        <v>10.69</v>
      </c>
      <c r="G336" s="203" t="s">
        <v>149</v>
      </c>
      <c r="H336" s="204" t="s">
        <v>150</v>
      </c>
      <c r="I336" s="204" t="s">
        <v>142</v>
      </c>
      <c r="J336" s="202">
        <f>ROUND((F336*D332/3600)*(1-I336),4)</f>
        <v>1E-3</v>
      </c>
      <c r="K336" s="202">
        <f>ROUND((F336*E332/1000000)*(1-I336),4)</f>
        <v>5.0000000000000001E-4</v>
      </c>
      <c r="L336" s="25"/>
      <c r="M336" s="25"/>
      <c r="N336" s="5"/>
      <c r="P336" s="5"/>
      <c r="Q336" s="5"/>
    </row>
    <row r="337" spans="1:17" ht="15" customHeight="1" x14ac:dyDescent="0.25">
      <c r="A337" s="1413"/>
      <c r="B337" s="1416"/>
      <c r="C337" s="1419"/>
      <c r="D337" s="1419"/>
      <c r="E337" s="1419"/>
      <c r="F337" s="7">
        <v>1.4</v>
      </c>
      <c r="G337" s="207" t="s">
        <v>151</v>
      </c>
      <c r="H337" s="23">
        <v>2908</v>
      </c>
      <c r="I337" s="204" t="s">
        <v>142</v>
      </c>
      <c r="J337" s="202">
        <f>ROUND((F337*D332/3600)*(1-I337),4)</f>
        <v>1E-4</v>
      </c>
      <c r="K337" s="202">
        <f>ROUND((F337*E332/1000000)*(1-I337),4)</f>
        <v>1E-4</v>
      </c>
      <c r="L337" s="25"/>
      <c r="M337" s="25"/>
      <c r="N337" s="5"/>
      <c r="P337" s="5"/>
      <c r="Q337" s="5"/>
    </row>
    <row r="338" spans="1:17" ht="15" customHeight="1" x14ac:dyDescent="0.25">
      <c r="A338" s="1414"/>
      <c r="B338" s="1417"/>
      <c r="C338" s="1420"/>
      <c r="D338" s="1420"/>
      <c r="E338" s="1420"/>
      <c r="F338" s="7">
        <v>13.3</v>
      </c>
      <c r="G338" s="203" t="s">
        <v>152</v>
      </c>
      <c r="H338" s="204" t="s">
        <v>153</v>
      </c>
      <c r="I338" s="204" t="s">
        <v>142</v>
      </c>
      <c r="J338" s="202">
        <f>ROUND((F338*D332/3600)*(1-I338),4)</f>
        <v>1.1999999999999999E-3</v>
      </c>
      <c r="K338" s="202">
        <f>ROUND((F338*E332/1000000)*(1-I338),4)</f>
        <v>5.9999999999999995E-4</v>
      </c>
      <c r="L338" s="25">
        <f>SUM(J332:J338)</f>
        <v>2.8999999999999998E-3</v>
      </c>
      <c r="M338" s="25">
        <f>SUM(K332:K338)</f>
        <v>1.5799999999999998E-3</v>
      </c>
      <c r="N338" s="924"/>
      <c r="P338" s="5"/>
      <c r="Q338" s="5"/>
    </row>
    <row r="339" spans="1:17" ht="15" customHeight="1" x14ac:dyDescent="0.25">
      <c r="A339" s="1411" t="s">
        <v>291</v>
      </c>
      <c r="B339" s="1411"/>
      <c r="C339" s="1411"/>
      <c r="D339" s="1411"/>
      <c r="E339" s="1411"/>
      <c r="F339" s="1411"/>
      <c r="G339" s="1411"/>
      <c r="H339" s="1411"/>
      <c r="I339" s="1411"/>
      <c r="J339" s="1411"/>
      <c r="K339" s="1411"/>
      <c r="L339" s="109"/>
      <c r="M339" s="109"/>
      <c r="N339" s="4"/>
      <c r="P339" s="5"/>
      <c r="Q339" s="5"/>
    </row>
    <row r="340" spans="1:17" ht="15" customHeight="1" x14ac:dyDescent="0.25">
      <c r="A340" s="1412" t="s">
        <v>509</v>
      </c>
      <c r="B340" s="1415" t="s">
        <v>138</v>
      </c>
      <c r="C340" s="1418" t="s">
        <v>139</v>
      </c>
      <c r="D340" s="1418">
        <v>26.88</v>
      </c>
      <c r="E340" s="1418">
        <v>11529.8</v>
      </c>
      <c r="F340" s="7">
        <v>0.75</v>
      </c>
      <c r="G340" s="203" t="s">
        <v>140</v>
      </c>
      <c r="H340" s="204" t="s">
        <v>141</v>
      </c>
      <c r="I340" s="204" t="s">
        <v>142</v>
      </c>
      <c r="J340" s="202">
        <f>ROUND(F340*D340/3600,4)</f>
        <v>5.5999999999999999E-3</v>
      </c>
      <c r="K340" s="202">
        <f>ROUND(F340*E340/1000000,4)</f>
        <v>8.6E-3</v>
      </c>
      <c r="L340" s="25"/>
      <c r="M340" s="25"/>
      <c r="N340" s="5"/>
      <c r="P340" s="5"/>
      <c r="Q340" s="5"/>
    </row>
    <row r="341" spans="1:17" ht="15" customHeight="1" x14ac:dyDescent="0.25">
      <c r="A341" s="1413"/>
      <c r="B341" s="1416"/>
      <c r="C341" s="1419"/>
      <c r="D341" s="1419"/>
      <c r="E341" s="1419"/>
      <c r="F341" s="7">
        <v>1.5</v>
      </c>
      <c r="G341" s="206" t="s">
        <v>143</v>
      </c>
      <c r="H341" s="205" t="s">
        <v>144</v>
      </c>
      <c r="I341" s="204" t="s">
        <v>142</v>
      </c>
      <c r="J341" s="202">
        <f>ROUND((F341*D340/3600)*(1-I341),4)</f>
        <v>1.12E-2</v>
      </c>
      <c r="K341" s="202">
        <f>ROUND((F341*E340/1000000)*(1-I341),4)</f>
        <v>1.7299999999999999E-2</v>
      </c>
      <c r="L341" s="25"/>
      <c r="M341" s="25"/>
      <c r="N341" s="5"/>
      <c r="P341" s="5"/>
      <c r="Q341" s="5"/>
    </row>
    <row r="342" spans="1:17" ht="15" customHeight="1" x14ac:dyDescent="0.25">
      <c r="A342" s="1413"/>
      <c r="B342" s="1416"/>
      <c r="C342" s="1419"/>
      <c r="D342" s="1419"/>
      <c r="E342" s="1419"/>
      <c r="F342" s="7">
        <v>0.92</v>
      </c>
      <c r="G342" s="203" t="s">
        <v>145</v>
      </c>
      <c r="H342" s="204" t="s">
        <v>146</v>
      </c>
      <c r="I342" s="204" t="s">
        <v>142</v>
      </c>
      <c r="J342" s="202">
        <f>ROUND((F342*D340/3600)*(1-I342),4)</f>
        <v>6.8999999999999999E-3</v>
      </c>
      <c r="K342" s="202">
        <f>ROUND((F342*E340/1000000)*(1-I342),4)</f>
        <v>1.06E-2</v>
      </c>
      <c r="L342" s="25"/>
      <c r="M342" s="25"/>
      <c r="N342" s="5"/>
      <c r="P342" s="5"/>
      <c r="Q342" s="5"/>
    </row>
    <row r="343" spans="1:17" ht="15" customHeight="1" x14ac:dyDescent="0.25">
      <c r="A343" s="1413"/>
      <c r="B343" s="1416"/>
      <c r="C343" s="1419"/>
      <c r="D343" s="1419"/>
      <c r="E343" s="1419"/>
      <c r="F343" s="7">
        <v>3.3</v>
      </c>
      <c r="G343" s="203" t="s">
        <v>147</v>
      </c>
      <c r="H343" s="204" t="s">
        <v>148</v>
      </c>
      <c r="I343" s="204" t="s">
        <v>142</v>
      </c>
      <c r="J343" s="202">
        <f>ROUND((F343*D340/3600)*(1-I343),4)</f>
        <v>2.46E-2</v>
      </c>
      <c r="K343" s="202">
        <f>ROUND((F343*E340/1000000)*(1-I343),4)</f>
        <v>3.7999999999999999E-2</v>
      </c>
      <c r="L343" s="25"/>
      <c r="M343" s="25"/>
      <c r="N343" s="5"/>
      <c r="P343" s="5"/>
      <c r="Q343" s="5"/>
    </row>
    <row r="344" spans="1:17" ht="15" customHeight="1" x14ac:dyDescent="0.25">
      <c r="A344" s="1413"/>
      <c r="B344" s="1416"/>
      <c r="C344" s="1419"/>
      <c r="D344" s="1419"/>
      <c r="E344" s="1419"/>
      <c r="F344" s="7">
        <v>10.69</v>
      </c>
      <c r="G344" s="203" t="s">
        <v>149</v>
      </c>
      <c r="H344" s="204" t="s">
        <v>150</v>
      </c>
      <c r="I344" s="204" t="s">
        <v>142</v>
      </c>
      <c r="J344" s="202">
        <f>ROUND((F344*D340/3600)*(1-I344),4)</f>
        <v>7.9799999999999996E-2</v>
      </c>
      <c r="K344" s="202">
        <f>ROUND((F344*E340/1000000)*(1-I344),4)</f>
        <v>0.12330000000000001</v>
      </c>
      <c r="L344" s="25"/>
      <c r="M344" s="25"/>
      <c r="N344" s="5"/>
      <c r="O344" s="5"/>
      <c r="P344" s="5"/>
      <c r="Q344" s="5"/>
    </row>
    <row r="345" spans="1:17" ht="15" customHeight="1" x14ac:dyDescent="0.25">
      <c r="A345" s="1413"/>
      <c r="B345" s="1416"/>
      <c r="C345" s="1419"/>
      <c r="D345" s="1419"/>
      <c r="E345" s="1419"/>
      <c r="F345" s="7">
        <v>1.4</v>
      </c>
      <c r="G345" s="207" t="s">
        <v>151</v>
      </c>
      <c r="H345" s="23">
        <v>2908</v>
      </c>
      <c r="I345" s="204" t="s">
        <v>142</v>
      </c>
      <c r="J345" s="202">
        <f>ROUND((F345*D340/3600)*(1-I345),4)</f>
        <v>1.0500000000000001E-2</v>
      </c>
      <c r="K345" s="202">
        <f>ROUND((F345*E340/1000000)*(1-I345),4)</f>
        <v>1.61E-2</v>
      </c>
      <c r="L345" s="25"/>
      <c r="M345" s="25"/>
      <c r="N345" s="5"/>
      <c r="O345" s="5"/>
      <c r="P345" s="5"/>
      <c r="Q345" s="5"/>
    </row>
    <row r="346" spans="1:17" ht="15" customHeight="1" x14ac:dyDescent="0.25">
      <c r="A346" s="1414"/>
      <c r="B346" s="1417"/>
      <c r="C346" s="1420"/>
      <c r="D346" s="1420"/>
      <c r="E346" s="1420"/>
      <c r="F346" s="7">
        <v>13.3</v>
      </c>
      <c r="G346" s="203" t="s">
        <v>152</v>
      </c>
      <c r="H346" s="204" t="s">
        <v>153</v>
      </c>
      <c r="I346" s="204" t="s">
        <v>142</v>
      </c>
      <c r="J346" s="202">
        <f>ROUND((F346*D340/3600)*(1-I346),4)</f>
        <v>9.9299999999999999E-2</v>
      </c>
      <c r="K346" s="202">
        <f>ROUND((F346*E340/1000000)*(1-I346),4)</f>
        <v>0.15329999999999999</v>
      </c>
      <c r="L346" s="25">
        <f>SUM(J340:J346)</f>
        <v>0.2379</v>
      </c>
      <c r="M346" s="25">
        <f>SUM(K340:K346)</f>
        <v>0.36719999999999997</v>
      </c>
      <c r="N346" s="924"/>
      <c r="O346" s="5"/>
      <c r="P346" s="5"/>
      <c r="Q346" s="5"/>
    </row>
    <row r="347" spans="1:17" ht="15" customHeight="1" x14ac:dyDescent="0.25">
      <c r="A347" s="1427" t="s">
        <v>63</v>
      </c>
      <c r="B347" s="1427"/>
      <c r="C347" s="1427"/>
      <c r="D347" s="1427"/>
      <c r="E347" s="1427"/>
      <c r="F347" s="1427"/>
      <c r="G347" s="1427"/>
      <c r="H347" s="1427"/>
      <c r="I347" s="1427"/>
      <c r="J347" s="1427"/>
      <c r="K347" s="1427"/>
      <c r="L347" s="906">
        <f>SUM(L234:L346)</f>
        <v>2.7761199999999997</v>
      </c>
      <c r="M347" s="903">
        <f>SUM(M234:M346)</f>
        <v>10.89146</v>
      </c>
      <c r="N347" s="904">
        <v>2028</v>
      </c>
      <c r="O347" s="5"/>
      <c r="P347" s="5"/>
      <c r="Q347" s="5"/>
    </row>
    <row r="348" spans="1:17" ht="15" customHeight="1" x14ac:dyDescent="0.25">
      <c r="A348" s="1411" t="s">
        <v>8</v>
      </c>
      <c r="B348" s="1411"/>
      <c r="C348" s="1411"/>
      <c r="D348" s="1411"/>
      <c r="E348" s="1411"/>
      <c r="F348" s="1411"/>
      <c r="G348" s="1411"/>
      <c r="H348" s="1411"/>
      <c r="I348" s="1411"/>
      <c r="J348" s="1411"/>
      <c r="K348" s="1411"/>
      <c r="L348" s="108"/>
      <c r="M348" s="4"/>
      <c r="N348" s="4"/>
      <c r="O348" s="4"/>
    </row>
    <row r="349" spans="1:17" ht="15" customHeight="1" x14ac:dyDescent="0.25">
      <c r="A349" s="1412" t="s">
        <v>366</v>
      </c>
      <c r="B349" s="1415" t="s">
        <v>138</v>
      </c>
      <c r="C349" s="1418" t="s">
        <v>139</v>
      </c>
      <c r="D349" s="1418">
        <v>74.900000000000006</v>
      </c>
      <c r="E349" s="1418">
        <v>21431.4</v>
      </c>
      <c r="F349" s="7">
        <v>0.75</v>
      </c>
      <c r="G349" s="203" t="s">
        <v>140</v>
      </c>
      <c r="H349" s="204" t="s">
        <v>141</v>
      </c>
      <c r="I349" s="204" t="s">
        <v>142</v>
      </c>
      <c r="J349" s="202">
        <f>ROUND(F349*D349/3600,4)</f>
        <v>1.5599999999999999E-2</v>
      </c>
      <c r="K349" s="202">
        <f>ROUND(F349*E349/1000000,4)</f>
        <v>1.61E-2</v>
      </c>
      <c r="L349" s="25"/>
      <c r="M349" s="5"/>
      <c r="N349" s="5"/>
      <c r="O349" s="5"/>
      <c r="P349" s="5"/>
      <c r="Q349" s="5"/>
    </row>
    <row r="350" spans="1:17" ht="15" customHeight="1" x14ac:dyDescent="0.25">
      <c r="A350" s="1413"/>
      <c r="B350" s="1416"/>
      <c r="C350" s="1419"/>
      <c r="D350" s="1419"/>
      <c r="E350" s="1419"/>
      <c r="F350" s="7">
        <v>1.5</v>
      </c>
      <c r="G350" s="206" t="s">
        <v>143</v>
      </c>
      <c r="H350" s="205" t="s">
        <v>144</v>
      </c>
      <c r="I350" s="204" t="s">
        <v>142</v>
      </c>
      <c r="J350" s="202">
        <f>ROUND((F350*D349/3600)*(1-I350),4)</f>
        <v>3.1199999999999999E-2</v>
      </c>
      <c r="K350" s="202">
        <f>ROUND((F350*E349/1000000)*(1-I350),4)</f>
        <v>3.2099999999999997E-2</v>
      </c>
      <c r="L350" s="25"/>
      <c r="M350" s="5"/>
      <c r="N350" s="5"/>
      <c r="O350" s="5"/>
      <c r="P350" s="5"/>
      <c r="Q350" s="5"/>
    </row>
    <row r="351" spans="1:17" ht="15" customHeight="1" x14ac:dyDescent="0.25">
      <c r="A351" s="1413"/>
      <c r="B351" s="1416"/>
      <c r="C351" s="1419"/>
      <c r="D351" s="1419"/>
      <c r="E351" s="1419"/>
      <c r="F351" s="7">
        <v>0.92</v>
      </c>
      <c r="G351" s="203" t="s">
        <v>145</v>
      </c>
      <c r="H351" s="204" t="s">
        <v>146</v>
      </c>
      <c r="I351" s="204" t="s">
        <v>142</v>
      </c>
      <c r="J351" s="202">
        <f>ROUND((F351*D349/3600)*(1-I351),4)</f>
        <v>1.9099999999999999E-2</v>
      </c>
      <c r="K351" s="202">
        <f>ROUND((F351*E349/1000000)*(1-I351),4)</f>
        <v>1.9699999999999999E-2</v>
      </c>
      <c r="L351" s="25"/>
      <c r="M351" s="5"/>
      <c r="N351" s="5"/>
      <c r="O351" s="5"/>
      <c r="P351" s="5"/>
      <c r="Q351" s="5"/>
    </row>
    <row r="352" spans="1:17" ht="15" customHeight="1" x14ac:dyDescent="0.25">
      <c r="A352" s="1413"/>
      <c r="B352" s="1416"/>
      <c r="C352" s="1419"/>
      <c r="D352" s="1419"/>
      <c r="E352" s="1419"/>
      <c r="F352" s="7">
        <v>3.3</v>
      </c>
      <c r="G352" s="203" t="s">
        <v>147</v>
      </c>
      <c r="H352" s="204" t="s">
        <v>148</v>
      </c>
      <c r="I352" s="204" t="s">
        <v>142</v>
      </c>
      <c r="J352" s="202">
        <f>ROUND((F352*D349/3600)*(1-I352),4)</f>
        <v>6.8699999999999997E-2</v>
      </c>
      <c r="K352" s="202">
        <f>ROUND((F352*E349/1000000)*(1-I352),4)</f>
        <v>7.0699999999999999E-2</v>
      </c>
      <c r="L352" s="25"/>
      <c r="M352" s="5"/>
      <c r="N352" s="5"/>
      <c r="O352" s="5"/>
      <c r="P352" s="5"/>
      <c r="Q352" s="5"/>
    </row>
    <row r="353" spans="1:17" ht="15" customHeight="1" x14ac:dyDescent="0.25">
      <c r="A353" s="1413"/>
      <c r="B353" s="1416"/>
      <c r="C353" s="1419"/>
      <c r="D353" s="1419"/>
      <c r="E353" s="1419"/>
      <c r="F353" s="7">
        <v>10.69</v>
      </c>
      <c r="G353" s="203" t="s">
        <v>149</v>
      </c>
      <c r="H353" s="204" t="s">
        <v>150</v>
      </c>
      <c r="I353" s="204" t="s">
        <v>142</v>
      </c>
      <c r="J353" s="202">
        <f>ROUND((F353*D349/3600)*(1-I353),4)</f>
        <v>0.22239999999999999</v>
      </c>
      <c r="K353" s="202">
        <f>ROUND((F353*E349/1000000)*(1-I353),4)</f>
        <v>0.2291</v>
      </c>
      <c r="L353" s="25"/>
      <c r="M353" s="5"/>
      <c r="N353" s="5"/>
      <c r="O353" s="5"/>
      <c r="P353" s="5"/>
      <c r="Q353" s="5"/>
    </row>
    <row r="354" spans="1:17" ht="15" customHeight="1" x14ac:dyDescent="0.25">
      <c r="A354" s="1413"/>
      <c r="B354" s="1416"/>
      <c r="C354" s="1419"/>
      <c r="D354" s="1419"/>
      <c r="E354" s="1419"/>
      <c r="F354" s="7">
        <v>1.4</v>
      </c>
      <c r="G354" s="207" t="s">
        <v>151</v>
      </c>
      <c r="H354" s="23">
        <v>2908</v>
      </c>
      <c r="I354" s="204" t="s">
        <v>142</v>
      </c>
      <c r="J354" s="202">
        <f>ROUND((F354*D349/3600)*(1-I354),4)</f>
        <v>2.9100000000000001E-2</v>
      </c>
      <c r="K354" s="202">
        <f>ROUND((F354*E349/1000000)*(1-I354),4)</f>
        <v>0.03</v>
      </c>
      <c r="L354" s="25"/>
      <c r="M354" s="5"/>
      <c r="N354" s="5"/>
      <c r="O354" s="5"/>
      <c r="P354" s="5"/>
      <c r="Q354" s="5"/>
    </row>
    <row r="355" spans="1:17" ht="15" customHeight="1" x14ac:dyDescent="0.25">
      <c r="A355" s="1414"/>
      <c r="B355" s="1417"/>
      <c r="C355" s="1420"/>
      <c r="D355" s="1420"/>
      <c r="E355" s="1420"/>
      <c r="F355" s="7">
        <v>13.3</v>
      </c>
      <c r="G355" s="203" t="s">
        <v>152</v>
      </c>
      <c r="H355" s="204" t="s">
        <v>153</v>
      </c>
      <c r="I355" s="204" t="s">
        <v>142</v>
      </c>
      <c r="J355" s="202">
        <f>ROUND((F355*D349/3600)*(1-I355),4)</f>
        <v>0.2767</v>
      </c>
      <c r="K355" s="202">
        <f>ROUND((F355*E349/1000000)*(1-I355),4)</f>
        <v>0.28499999999999998</v>
      </c>
      <c r="L355" s="25">
        <f>SUM(J349:J355)</f>
        <v>0.66280000000000006</v>
      </c>
      <c r="M355" s="25">
        <f>SUM(K349:K355)</f>
        <v>0.68270000000000008</v>
      </c>
      <c r="N355" s="924"/>
      <c r="O355" s="5"/>
      <c r="P355" s="5"/>
      <c r="Q355" s="5"/>
    </row>
    <row r="356" spans="1:17" ht="15" customHeight="1" x14ac:dyDescent="0.25">
      <c r="A356" s="1411" t="s">
        <v>213</v>
      </c>
      <c r="B356" s="1411"/>
      <c r="C356" s="1411"/>
      <c r="D356" s="1411"/>
      <c r="E356" s="1411"/>
      <c r="F356" s="1411"/>
      <c r="G356" s="1411"/>
      <c r="H356" s="1411"/>
      <c r="I356" s="1411"/>
      <c r="J356" s="1411"/>
      <c r="K356" s="1411"/>
      <c r="L356" s="108"/>
      <c r="M356" s="4"/>
      <c r="N356" s="4"/>
      <c r="O356" s="4"/>
    </row>
    <row r="357" spans="1:17" ht="15" customHeight="1" x14ac:dyDescent="0.25">
      <c r="A357" s="1412" t="s">
        <v>399</v>
      </c>
      <c r="B357" s="1415" t="s">
        <v>138</v>
      </c>
      <c r="C357" s="1418" t="s">
        <v>139</v>
      </c>
      <c r="D357" s="1418">
        <v>102.5</v>
      </c>
      <c r="E357" s="1418">
        <v>29302.6</v>
      </c>
      <c r="F357" s="7">
        <v>0.75</v>
      </c>
      <c r="G357" s="203" t="s">
        <v>140</v>
      </c>
      <c r="H357" s="204" t="s">
        <v>141</v>
      </c>
      <c r="I357" s="204" t="s">
        <v>142</v>
      </c>
      <c r="J357" s="202">
        <f>ROUND(F357*D357/3600,4)</f>
        <v>2.1399999999999999E-2</v>
      </c>
      <c r="K357" s="202">
        <f>ROUND(F357*E357/1000000,4)</f>
        <v>2.1999999999999999E-2</v>
      </c>
      <c r="L357" s="25"/>
      <c r="M357" s="5"/>
      <c r="N357" s="5"/>
      <c r="O357" s="5"/>
    </row>
    <row r="358" spans="1:17" ht="15" customHeight="1" x14ac:dyDescent="0.25">
      <c r="A358" s="1413"/>
      <c r="B358" s="1416"/>
      <c r="C358" s="1419"/>
      <c r="D358" s="1419"/>
      <c r="E358" s="1419"/>
      <c r="F358" s="7">
        <v>1.5</v>
      </c>
      <c r="G358" s="206" t="s">
        <v>143</v>
      </c>
      <c r="H358" s="205" t="s">
        <v>144</v>
      </c>
      <c r="I358" s="204" t="s">
        <v>142</v>
      </c>
      <c r="J358" s="202">
        <f>ROUND((F358*D357/3600)*(1-I358),4)</f>
        <v>4.2700000000000002E-2</v>
      </c>
      <c r="K358" s="202">
        <f>ROUND((F358*E357/1000000)*(1-I358),4)</f>
        <v>4.3999999999999997E-2</v>
      </c>
      <c r="L358" s="25"/>
      <c r="M358" s="5"/>
      <c r="N358" s="5"/>
      <c r="O358" s="5"/>
    </row>
    <row r="359" spans="1:17" ht="15" customHeight="1" x14ac:dyDescent="0.25">
      <c r="A359" s="1413"/>
      <c r="B359" s="1416"/>
      <c r="C359" s="1419"/>
      <c r="D359" s="1419"/>
      <c r="E359" s="1419"/>
      <c r="F359" s="7">
        <v>0.92</v>
      </c>
      <c r="G359" s="203" t="s">
        <v>145</v>
      </c>
      <c r="H359" s="204" t="s">
        <v>146</v>
      </c>
      <c r="I359" s="204" t="s">
        <v>142</v>
      </c>
      <c r="J359" s="202">
        <f>ROUND((F359*D357/3600)*(1-I359),4)</f>
        <v>2.6200000000000001E-2</v>
      </c>
      <c r="K359" s="202">
        <f>ROUND((F359*E357/1000000)*(1-I359),4)</f>
        <v>2.7E-2</v>
      </c>
      <c r="L359" s="25"/>
      <c r="M359" s="5"/>
      <c r="N359" s="5"/>
      <c r="O359" s="5"/>
    </row>
    <row r="360" spans="1:17" ht="15" customHeight="1" x14ac:dyDescent="0.25">
      <c r="A360" s="1413"/>
      <c r="B360" s="1416"/>
      <c r="C360" s="1419"/>
      <c r="D360" s="1419"/>
      <c r="E360" s="1419"/>
      <c r="F360" s="7">
        <v>3.3</v>
      </c>
      <c r="G360" s="203" t="s">
        <v>147</v>
      </c>
      <c r="H360" s="204" t="s">
        <v>148</v>
      </c>
      <c r="I360" s="204" t="s">
        <v>142</v>
      </c>
      <c r="J360" s="202">
        <f>ROUND((F360*D357/3600)*(1-I360),4)</f>
        <v>9.4E-2</v>
      </c>
      <c r="K360" s="202">
        <f>ROUND((F360*E357/1000000)*(1-I360),4)</f>
        <v>9.6699999999999994E-2</v>
      </c>
      <c r="L360" s="25"/>
      <c r="M360" s="5"/>
      <c r="N360" s="5"/>
      <c r="O360" s="5"/>
    </row>
    <row r="361" spans="1:17" ht="15" customHeight="1" x14ac:dyDescent="0.25">
      <c r="A361" s="1413"/>
      <c r="B361" s="1416"/>
      <c r="C361" s="1419"/>
      <c r="D361" s="1419"/>
      <c r="E361" s="1419"/>
      <c r="F361" s="7">
        <v>10.69</v>
      </c>
      <c r="G361" s="203" t="s">
        <v>149</v>
      </c>
      <c r="H361" s="204" t="s">
        <v>150</v>
      </c>
      <c r="I361" s="204" t="s">
        <v>142</v>
      </c>
      <c r="J361" s="202">
        <f>ROUND((F361*D357/3600)*(1-I361),4)</f>
        <v>0.3044</v>
      </c>
      <c r="K361" s="202">
        <f>ROUND((F361*E357/1000000)*(1-I361),4)</f>
        <v>0.31319999999999998</v>
      </c>
      <c r="L361" s="25"/>
      <c r="M361" s="5"/>
      <c r="N361" s="5"/>
      <c r="O361" s="5"/>
    </row>
    <row r="362" spans="1:17" ht="15" customHeight="1" x14ac:dyDescent="0.25">
      <c r="A362" s="1413"/>
      <c r="B362" s="1416"/>
      <c r="C362" s="1419"/>
      <c r="D362" s="1419"/>
      <c r="E362" s="1419"/>
      <c r="F362" s="7">
        <v>1.4</v>
      </c>
      <c r="G362" s="207" t="s">
        <v>151</v>
      </c>
      <c r="H362" s="23">
        <v>2908</v>
      </c>
      <c r="I362" s="204" t="s">
        <v>142</v>
      </c>
      <c r="J362" s="202">
        <f>ROUND((F362*D357/3600)*(1-I362),4)</f>
        <v>3.9899999999999998E-2</v>
      </c>
      <c r="K362" s="202">
        <f>ROUND((F362*E357/1000000)*(1-I362),4)</f>
        <v>4.1000000000000002E-2</v>
      </c>
      <c r="L362" s="25"/>
      <c r="M362" s="5"/>
      <c r="N362" s="5"/>
      <c r="O362" s="5"/>
    </row>
    <row r="363" spans="1:17" ht="15" customHeight="1" x14ac:dyDescent="0.25">
      <c r="A363" s="1414"/>
      <c r="B363" s="1417"/>
      <c r="C363" s="1420"/>
      <c r="D363" s="1420"/>
      <c r="E363" s="1420"/>
      <c r="F363" s="7">
        <v>13.3</v>
      </c>
      <c r="G363" s="203" t="s">
        <v>152</v>
      </c>
      <c r="H363" s="204" t="s">
        <v>153</v>
      </c>
      <c r="I363" s="204" t="s">
        <v>142</v>
      </c>
      <c r="J363" s="202">
        <f>ROUND((F363*D357/3600)*(1-I363),4)</f>
        <v>0.37869999999999998</v>
      </c>
      <c r="K363" s="202">
        <f>ROUND((F363*E357/1000000)*(1-I363),4)</f>
        <v>0.38969999999999999</v>
      </c>
      <c r="L363" s="25">
        <f>SUM(J357:J363)</f>
        <v>0.9073</v>
      </c>
      <c r="M363" s="25">
        <f>SUM(K357:K363)</f>
        <v>0.93359999999999999</v>
      </c>
      <c r="N363" s="924"/>
      <c r="O363" s="5"/>
    </row>
    <row r="364" spans="1:17" ht="15" customHeight="1" x14ac:dyDescent="0.25">
      <c r="A364" s="1411" t="s">
        <v>215</v>
      </c>
      <c r="B364" s="1411"/>
      <c r="C364" s="1411"/>
      <c r="D364" s="1411"/>
      <c r="E364" s="1411"/>
      <c r="F364" s="1411"/>
      <c r="G364" s="1411"/>
      <c r="H364" s="1411"/>
      <c r="I364" s="1411"/>
      <c r="J364" s="1411"/>
      <c r="K364" s="1411"/>
      <c r="L364" s="108"/>
      <c r="M364" s="4"/>
      <c r="N364" s="4"/>
      <c r="O364" s="4"/>
    </row>
    <row r="365" spans="1:17" ht="15" customHeight="1" x14ac:dyDescent="0.25">
      <c r="A365" s="1412" t="s">
        <v>404</v>
      </c>
      <c r="B365" s="1415" t="s">
        <v>138</v>
      </c>
      <c r="C365" s="1418" t="s">
        <v>139</v>
      </c>
      <c r="D365" s="1418">
        <v>126.9</v>
      </c>
      <c r="E365" s="1418">
        <v>108870.7</v>
      </c>
      <c r="F365" s="7">
        <v>0.75</v>
      </c>
      <c r="G365" s="203" t="s">
        <v>140</v>
      </c>
      <c r="H365" s="204" t="s">
        <v>141</v>
      </c>
      <c r="I365" s="204" t="s">
        <v>142</v>
      </c>
      <c r="J365" s="202">
        <f>ROUND(F365*D365/3600,4)</f>
        <v>2.64E-2</v>
      </c>
      <c r="K365" s="202">
        <f>ROUND(F365*E365/1000000,4)</f>
        <v>8.1699999999999995E-2</v>
      </c>
      <c r="L365" s="25"/>
      <c r="M365" s="5"/>
      <c r="N365" s="5"/>
      <c r="O365" s="5"/>
    </row>
    <row r="366" spans="1:17" ht="15" customHeight="1" x14ac:dyDescent="0.25">
      <c r="A366" s="1413"/>
      <c r="B366" s="1416"/>
      <c r="C366" s="1419"/>
      <c r="D366" s="1419"/>
      <c r="E366" s="1419"/>
      <c r="F366" s="7">
        <v>1.5</v>
      </c>
      <c r="G366" s="206" t="s">
        <v>143</v>
      </c>
      <c r="H366" s="205" t="s">
        <v>144</v>
      </c>
      <c r="I366" s="204" t="s">
        <v>142</v>
      </c>
      <c r="J366" s="202">
        <f>ROUND((F366*D365/3600)*(1-I366),4)</f>
        <v>5.2900000000000003E-2</v>
      </c>
      <c r="K366" s="202">
        <f>ROUND((F366*E365/1000000)*(1-I366),4)</f>
        <v>0.1633</v>
      </c>
      <c r="L366" s="25"/>
      <c r="M366" s="5"/>
      <c r="N366" s="5"/>
      <c r="O366" s="5"/>
    </row>
    <row r="367" spans="1:17" ht="15" customHeight="1" x14ac:dyDescent="0.25">
      <c r="A367" s="1413"/>
      <c r="B367" s="1416"/>
      <c r="C367" s="1419"/>
      <c r="D367" s="1419"/>
      <c r="E367" s="1419"/>
      <c r="F367" s="7">
        <v>0.92</v>
      </c>
      <c r="G367" s="203" t="s">
        <v>145</v>
      </c>
      <c r="H367" s="204" t="s">
        <v>146</v>
      </c>
      <c r="I367" s="204" t="s">
        <v>142</v>
      </c>
      <c r="J367" s="202">
        <f>ROUND((F367*D365/3600)*(1-I367),4)</f>
        <v>3.2399999999999998E-2</v>
      </c>
      <c r="K367" s="202">
        <f>ROUND((F367*E365/1000000)*(1-I367),4)</f>
        <v>0.1002</v>
      </c>
      <c r="L367" s="25"/>
      <c r="M367" s="5"/>
      <c r="N367" s="5"/>
      <c r="O367" s="5"/>
    </row>
    <row r="368" spans="1:17" ht="15" customHeight="1" x14ac:dyDescent="0.25">
      <c r="A368" s="1413"/>
      <c r="B368" s="1416"/>
      <c r="C368" s="1419"/>
      <c r="D368" s="1419"/>
      <c r="E368" s="1419"/>
      <c r="F368" s="7">
        <v>3.3</v>
      </c>
      <c r="G368" s="203" t="s">
        <v>147</v>
      </c>
      <c r="H368" s="204" t="s">
        <v>148</v>
      </c>
      <c r="I368" s="204" t="s">
        <v>142</v>
      </c>
      <c r="J368" s="202">
        <f>ROUND((F368*D365/3600)*(1-I368),4)</f>
        <v>0.1163</v>
      </c>
      <c r="K368" s="202">
        <f>ROUND((F368*E365/1000000)*(1-I368),4)</f>
        <v>0.35930000000000001</v>
      </c>
      <c r="L368" s="25"/>
      <c r="M368" s="5"/>
      <c r="N368" s="5"/>
      <c r="O368" s="5"/>
    </row>
    <row r="369" spans="1:17" ht="15" customHeight="1" x14ac:dyDescent="0.25">
      <c r="A369" s="1413"/>
      <c r="B369" s="1416"/>
      <c r="C369" s="1419"/>
      <c r="D369" s="1419"/>
      <c r="E369" s="1419"/>
      <c r="F369" s="7">
        <v>10.69</v>
      </c>
      <c r="G369" s="203" t="s">
        <v>149</v>
      </c>
      <c r="H369" s="204" t="s">
        <v>150</v>
      </c>
      <c r="I369" s="204" t="s">
        <v>142</v>
      </c>
      <c r="J369" s="202">
        <f>ROUND((F369*D365/3600)*(1-I369),4)</f>
        <v>0.37680000000000002</v>
      </c>
      <c r="K369" s="202">
        <f>ROUND((F369*E365/1000000)*(1-I369),4)</f>
        <v>1.1637999999999999</v>
      </c>
      <c r="L369" s="25"/>
      <c r="M369" s="5"/>
      <c r="N369" s="5"/>
      <c r="O369" s="5"/>
    </row>
    <row r="370" spans="1:17" ht="15" customHeight="1" x14ac:dyDescent="0.25">
      <c r="A370" s="1413"/>
      <c r="B370" s="1416"/>
      <c r="C370" s="1419"/>
      <c r="D370" s="1419"/>
      <c r="E370" s="1419"/>
      <c r="F370" s="7">
        <v>1.4</v>
      </c>
      <c r="G370" s="207" t="s">
        <v>151</v>
      </c>
      <c r="H370" s="23">
        <v>2908</v>
      </c>
      <c r="I370" s="204" t="s">
        <v>142</v>
      </c>
      <c r="J370" s="202">
        <f>ROUND((F370*D365/3600)*(1-I370),4)</f>
        <v>4.9399999999999999E-2</v>
      </c>
      <c r="K370" s="202">
        <f>ROUND((F370*E365/1000000)*(1-I370),4)</f>
        <v>0.15240000000000001</v>
      </c>
      <c r="L370" s="25"/>
      <c r="M370" s="5"/>
      <c r="N370" s="5"/>
      <c r="O370" s="5"/>
    </row>
    <row r="371" spans="1:17" ht="15" customHeight="1" x14ac:dyDescent="0.25">
      <c r="A371" s="1414"/>
      <c r="B371" s="1417"/>
      <c r="C371" s="1420"/>
      <c r="D371" s="1420"/>
      <c r="E371" s="1420"/>
      <c r="F371" s="7">
        <v>13.3</v>
      </c>
      <c r="G371" s="203" t="s">
        <v>152</v>
      </c>
      <c r="H371" s="204" t="s">
        <v>153</v>
      </c>
      <c r="I371" s="204" t="s">
        <v>142</v>
      </c>
      <c r="J371" s="202">
        <f>ROUND((F371*D365/3600)*(1-I371),4)</f>
        <v>0.46879999999999999</v>
      </c>
      <c r="K371" s="202">
        <f>ROUND((F371*E365/1000000)*(1-I371),4)</f>
        <v>1.448</v>
      </c>
      <c r="L371" s="25">
        <f>SUM(J365:J371)</f>
        <v>1.123</v>
      </c>
      <c r="M371" s="25">
        <f>SUM(K365:K371)</f>
        <v>3.4687000000000001</v>
      </c>
      <c r="N371" s="924"/>
      <c r="O371" s="5"/>
    </row>
    <row r="372" spans="1:17" ht="15" customHeight="1" x14ac:dyDescent="0.25">
      <c r="A372" s="1411" t="s">
        <v>264</v>
      </c>
      <c r="B372" s="1411"/>
      <c r="C372" s="1411"/>
      <c r="D372" s="1411"/>
      <c r="E372" s="1411"/>
      <c r="F372" s="1411"/>
      <c r="G372" s="1411"/>
      <c r="H372" s="1411"/>
      <c r="I372" s="1411"/>
      <c r="J372" s="1411"/>
      <c r="K372" s="1411"/>
      <c r="L372" s="108"/>
      <c r="M372" s="4"/>
      <c r="N372" s="4"/>
      <c r="O372" s="4"/>
    </row>
    <row r="373" spans="1:17" ht="15" customHeight="1" x14ac:dyDescent="0.25">
      <c r="A373" s="1412" t="s">
        <v>477</v>
      </c>
      <c r="B373" s="1415" t="s">
        <v>138</v>
      </c>
      <c r="C373" s="1418" t="s">
        <v>139</v>
      </c>
      <c r="D373" s="1418">
        <v>3.38</v>
      </c>
      <c r="E373" s="1418">
        <v>967.8</v>
      </c>
      <c r="F373" s="7">
        <v>0.75</v>
      </c>
      <c r="G373" s="203" t="s">
        <v>140</v>
      </c>
      <c r="H373" s="204" t="s">
        <v>141</v>
      </c>
      <c r="I373" s="204" t="s">
        <v>142</v>
      </c>
      <c r="J373" s="202">
        <f>ROUND(F373*D373/3600,4)</f>
        <v>6.9999999999999999E-4</v>
      </c>
      <c r="K373" s="202">
        <f>ROUND(F373*E373/1000000,4)</f>
        <v>6.9999999999999999E-4</v>
      </c>
      <c r="L373" s="25"/>
      <c r="M373" s="5"/>
      <c r="N373" s="5"/>
      <c r="O373" s="5"/>
    </row>
    <row r="374" spans="1:17" ht="15" customHeight="1" x14ac:dyDescent="0.25">
      <c r="A374" s="1413"/>
      <c r="B374" s="1416"/>
      <c r="C374" s="1419"/>
      <c r="D374" s="1419"/>
      <c r="E374" s="1419"/>
      <c r="F374" s="7">
        <v>1.5</v>
      </c>
      <c r="G374" s="206" t="s">
        <v>143</v>
      </c>
      <c r="H374" s="205" t="s">
        <v>144</v>
      </c>
      <c r="I374" s="204" t="s">
        <v>142</v>
      </c>
      <c r="J374" s="202">
        <f>ROUND((F374*D373/3600)*(1-I374),4)</f>
        <v>1.4E-3</v>
      </c>
      <c r="K374" s="202">
        <f>ROUND((F374*E373/1000000)*(1-I374),4)</f>
        <v>1.5E-3</v>
      </c>
      <c r="L374" s="25"/>
      <c r="M374" s="5"/>
      <c r="N374" s="5"/>
      <c r="O374" s="5"/>
    </row>
    <row r="375" spans="1:17" ht="15" customHeight="1" x14ac:dyDescent="0.25">
      <c r="A375" s="1413"/>
      <c r="B375" s="1416"/>
      <c r="C375" s="1419"/>
      <c r="D375" s="1419"/>
      <c r="E375" s="1419"/>
      <c r="F375" s="7">
        <v>0.92</v>
      </c>
      <c r="G375" s="203" t="s">
        <v>145</v>
      </c>
      <c r="H375" s="204" t="s">
        <v>146</v>
      </c>
      <c r="I375" s="204" t="s">
        <v>142</v>
      </c>
      <c r="J375" s="202">
        <f>ROUND((F375*D373/3600)*(1-I375),4)</f>
        <v>8.9999999999999998E-4</v>
      </c>
      <c r="K375" s="202">
        <f>ROUND((F375*E373/1000000)*(1-I375),4)</f>
        <v>8.9999999999999998E-4</v>
      </c>
      <c r="L375" s="25"/>
      <c r="M375" s="5"/>
      <c r="N375" s="5"/>
      <c r="O375" s="5"/>
    </row>
    <row r="376" spans="1:17" ht="15" customHeight="1" x14ac:dyDescent="0.25">
      <c r="A376" s="1413"/>
      <c r="B376" s="1416"/>
      <c r="C376" s="1419"/>
      <c r="D376" s="1419"/>
      <c r="E376" s="1419"/>
      <c r="F376" s="7">
        <v>3.3</v>
      </c>
      <c r="G376" s="203" t="s">
        <v>147</v>
      </c>
      <c r="H376" s="204" t="s">
        <v>148</v>
      </c>
      <c r="I376" s="204" t="s">
        <v>142</v>
      </c>
      <c r="J376" s="202">
        <f>ROUND((F376*D373/3600)*(1-I376),4)</f>
        <v>3.0999999999999999E-3</v>
      </c>
      <c r="K376" s="202">
        <f>ROUND((F376*E373/1000000)*(1-I376),4)</f>
        <v>3.2000000000000002E-3</v>
      </c>
      <c r="L376" s="25"/>
      <c r="M376" s="5"/>
      <c r="N376" s="5"/>
      <c r="O376" s="5"/>
    </row>
    <row r="377" spans="1:17" ht="15" customHeight="1" x14ac:dyDescent="0.25">
      <c r="A377" s="1413"/>
      <c r="B377" s="1416"/>
      <c r="C377" s="1419"/>
      <c r="D377" s="1419"/>
      <c r="E377" s="1419"/>
      <c r="F377" s="7">
        <v>10.69</v>
      </c>
      <c r="G377" s="203" t="s">
        <v>149</v>
      </c>
      <c r="H377" s="204" t="s">
        <v>150</v>
      </c>
      <c r="I377" s="204" t="s">
        <v>142</v>
      </c>
      <c r="J377" s="202">
        <f>ROUND((F377*D373/3600)*(1-I377),4)</f>
        <v>0.01</v>
      </c>
      <c r="K377" s="202">
        <f>ROUND((F377*E373/1000000)*(1-I377),4)</f>
        <v>1.03E-2</v>
      </c>
      <c r="L377" s="25"/>
      <c r="M377" s="5"/>
      <c r="N377" s="5"/>
      <c r="O377" s="5"/>
    </row>
    <row r="378" spans="1:17" ht="15" customHeight="1" x14ac:dyDescent="0.25">
      <c r="A378" s="1413"/>
      <c r="B378" s="1416"/>
      <c r="C378" s="1419"/>
      <c r="D378" s="1419"/>
      <c r="E378" s="1419"/>
      <c r="F378" s="7">
        <v>1.4</v>
      </c>
      <c r="G378" s="207" t="s">
        <v>151</v>
      </c>
      <c r="H378" s="23">
        <v>2908</v>
      </c>
      <c r="I378" s="204" t="s">
        <v>142</v>
      </c>
      <c r="J378" s="202">
        <f>ROUND((F378*D373/3600)*(1-I378),4)</f>
        <v>1.2999999999999999E-3</v>
      </c>
      <c r="K378" s="202">
        <f>ROUND((F378*E373/1000000)*(1-I378),4)</f>
        <v>1.4E-3</v>
      </c>
      <c r="L378" s="25"/>
      <c r="M378" s="5"/>
      <c r="N378" s="5"/>
      <c r="O378" s="5"/>
    </row>
    <row r="379" spans="1:17" ht="15" customHeight="1" x14ac:dyDescent="0.25">
      <c r="A379" s="1414"/>
      <c r="B379" s="1417"/>
      <c r="C379" s="1420"/>
      <c r="D379" s="1420"/>
      <c r="E379" s="1420"/>
      <c r="F379" s="7">
        <v>13.3</v>
      </c>
      <c r="G379" s="203" t="s">
        <v>152</v>
      </c>
      <c r="H379" s="204" t="s">
        <v>153</v>
      </c>
      <c r="I379" s="204" t="s">
        <v>142</v>
      </c>
      <c r="J379" s="202">
        <f>ROUND((F379*D373/3600)*(1-I379),4)</f>
        <v>1.2500000000000001E-2</v>
      </c>
      <c r="K379" s="202">
        <f>ROUND((F379*E373/1000000)*(1-I379),4)</f>
        <v>1.29E-2</v>
      </c>
      <c r="L379" s="25">
        <f>SUM(J373:J379)</f>
        <v>2.9899999999999999E-2</v>
      </c>
      <c r="M379" s="25">
        <f>SUM(K373:K379)</f>
        <v>3.0899999999999997E-2</v>
      </c>
      <c r="N379" s="924"/>
      <c r="O379" s="5"/>
    </row>
    <row r="380" spans="1:17" ht="15" customHeight="1" x14ac:dyDescent="0.25">
      <c r="A380" s="1411" t="s">
        <v>302</v>
      </c>
      <c r="B380" s="1411"/>
      <c r="C380" s="1411"/>
      <c r="D380" s="1411"/>
      <c r="E380" s="1411"/>
      <c r="F380" s="1411"/>
      <c r="G380" s="1411"/>
      <c r="H380" s="1411"/>
      <c r="I380" s="1411"/>
      <c r="J380" s="1411"/>
      <c r="K380" s="1411"/>
      <c r="L380" s="108"/>
      <c r="M380" s="4"/>
      <c r="N380" s="4"/>
      <c r="O380" s="4"/>
    </row>
    <row r="381" spans="1:17" ht="15" customHeight="1" x14ac:dyDescent="0.25">
      <c r="A381" s="1412" t="s">
        <v>519</v>
      </c>
      <c r="B381" s="1415" t="s">
        <v>138</v>
      </c>
      <c r="C381" s="1418" t="s">
        <v>139</v>
      </c>
      <c r="D381" s="1418">
        <v>0.01</v>
      </c>
      <c r="E381" s="1418">
        <v>1.1000000000000001</v>
      </c>
      <c r="F381" s="7">
        <v>0.75</v>
      </c>
      <c r="G381" s="203" t="s">
        <v>140</v>
      </c>
      <c r="H381" s="204" t="s">
        <v>141</v>
      </c>
      <c r="I381" s="204" t="s">
        <v>142</v>
      </c>
      <c r="J381" s="202">
        <f>ROUND(F381*D381/3600,6)</f>
        <v>1.9999999999999999E-6</v>
      </c>
      <c r="K381" s="202">
        <f>ROUND(F381*E381/1000000,6)</f>
        <v>9.9999999999999995E-7</v>
      </c>
      <c r="L381" s="25"/>
      <c r="M381" s="5"/>
      <c r="N381" s="5"/>
      <c r="O381" s="5"/>
      <c r="P381" s="5"/>
      <c r="Q381" s="5"/>
    </row>
    <row r="382" spans="1:17" ht="15" customHeight="1" x14ac:dyDescent="0.25">
      <c r="A382" s="1413"/>
      <c r="B382" s="1416"/>
      <c r="C382" s="1419"/>
      <c r="D382" s="1419"/>
      <c r="E382" s="1419"/>
      <c r="F382" s="7">
        <v>1.5</v>
      </c>
      <c r="G382" s="206" t="s">
        <v>143</v>
      </c>
      <c r="H382" s="205" t="s">
        <v>144</v>
      </c>
      <c r="I382" s="204" t="s">
        <v>142</v>
      </c>
      <c r="J382" s="202">
        <f>ROUND((F382*D381/3600)*(1-I382),6)</f>
        <v>3.9999999999999998E-6</v>
      </c>
      <c r="K382" s="202">
        <f>ROUND((F382*E381/1000000)*(1-I382),6)</f>
        <v>1.9999999999999999E-6</v>
      </c>
      <c r="L382" s="25"/>
      <c r="M382" s="5"/>
      <c r="N382" s="5"/>
      <c r="O382" s="5"/>
      <c r="P382" s="5"/>
      <c r="Q382" s="5"/>
    </row>
    <row r="383" spans="1:17" ht="15" customHeight="1" x14ac:dyDescent="0.25">
      <c r="A383" s="1413"/>
      <c r="B383" s="1416"/>
      <c r="C383" s="1419"/>
      <c r="D383" s="1419"/>
      <c r="E383" s="1419"/>
      <c r="F383" s="7">
        <v>0.92</v>
      </c>
      <c r="G383" s="203" t="s">
        <v>145</v>
      </c>
      <c r="H383" s="204" t="s">
        <v>146</v>
      </c>
      <c r="I383" s="204" t="s">
        <v>142</v>
      </c>
      <c r="J383" s="202">
        <f>ROUND((F383*D381/3600)*(1-I383),6)</f>
        <v>3.0000000000000001E-6</v>
      </c>
      <c r="K383" s="202">
        <f>ROUND((F383*E381/1000000)*(1-I383),6)</f>
        <v>9.9999999999999995E-7</v>
      </c>
      <c r="L383" s="25"/>
      <c r="M383" s="5"/>
      <c r="N383" s="5"/>
      <c r="O383" s="5"/>
      <c r="P383" s="5"/>
      <c r="Q383" s="5"/>
    </row>
    <row r="384" spans="1:17" ht="15" customHeight="1" x14ac:dyDescent="0.25">
      <c r="A384" s="1413"/>
      <c r="B384" s="1416"/>
      <c r="C384" s="1419"/>
      <c r="D384" s="1419"/>
      <c r="E384" s="1419"/>
      <c r="F384" s="7">
        <v>3.3</v>
      </c>
      <c r="G384" s="203" t="s">
        <v>147</v>
      </c>
      <c r="H384" s="204" t="s">
        <v>148</v>
      </c>
      <c r="I384" s="204" t="s">
        <v>142</v>
      </c>
      <c r="J384" s="202">
        <f>ROUND((F384*D381/3600)*(1-I384),5)</f>
        <v>1.0000000000000001E-5</v>
      </c>
      <c r="K384" s="202">
        <f>ROUND((F384*E381/1000000)*(1-I384),6)</f>
        <v>3.9999999999999998E-6</v>
      </c>
      <c r="L384" s="25"/>
      <c r="M384" s="5"/>
      <c r="N384" s="5"/>
      <c r="O384" s="5"/>
      <c r="P384" s="5"/>
      <c r="Q384" s="5"/>
    </row>
    <row r="385" spans="1:17" ht="15" customHeight="1" x14ac:dyDescent="0.25">
      <c r="A385" s="1413"/>
      <c r="B385" s="1416"/>
      <c r="C385" s="1419"/>
      <c r="D385" s="1419"/>
      <c r="E385" s="1419"/>
      <c r="F385" s="7">
        <v>10.69</v>
      </c>
      <c r="G385" s="203" t="s">
        <v>149</v>
      </c>
      <c r="H385" s="204" t="s">
        <v>150</v>
      </c>
      <c r="I385" s="204" t="s">
        <v>142</v>
      </c>
      <c r="J385" s="202">
        <f>ROUND((F385*D381/3600)*(1-I385),5)</f>
        <v>3.0000000000000001E-5</v>
      </c>
      <c r="K385" s="202">
        <f>ROUND((F385*E381/1000000)*(1-I385),6)</f>
        <v>1.2E-5</v>
      </c>
      <c r="L385" s="25"/>
      <c r="M385" s="5"/>
      <c r="N385" s="5"/>
      <c r="O385" s="5"/>
      <c r="P385" s="5"/>
      <c r="Q385" s="5"/>
    </row>
    <row r="386" spans="1:17" ht="15" customHeight="1" x14ac:dyDescent="0.25">
      <c r="A386" s="1413"/>
      <c r="B386" s="1416"/>
      <c r="C386" s="1419"/>
      <c r="D386" s="1419"/>
      <c r="E386" s="1419"/>
      <c r="F386" s="7">
        <v>1.4</v>
      </c>
      <c r="G386" s="207" t="s">
        <v>151</v>
      </c>
      <c r="H386" s="23">
        <v>2908</v>
      </c>
      <c r="I386" s="204" t="s">
        <v>142</v>
      </c>
      <c r="J386" s="202">
        <f>ROUND((F386*D381/3600)*(1-I386),6)</f>
        <v>3.9999999999999998E-6</v>
      </c>
      <c r="K386" s="202">
        <f>ROUND((F386*E381/1000000)*(1-I386),6)</f>
        <v>1.9999999999999999E-6</v>
      </c>
      <c r="L386" s="25"/>
      <c r="M386" s="5"/>
      <c r="N386" s="5"/>
      <c r="O386" s="5"/>
      <c r="P386" s="5"/>
      <c r="Q386" s="5"/>
    </row>
    <row r="387" spans="1:17" ht="15" customHeight="1" x14ac:dyDescent="0.25">
      <c r="A387" s="1414"/>
      <c r="B387" s="1417"/>
      <c r="C387" s="1420"/>
      <c r="D387" s="1420"/>
      <c r="E387" s="1420"/>
      <c r="F387" s="7">
        <v>13.3</v>
      </c>
      <c r="G387" s="203" t="s">
        <v>152</v>
      </c>
      <c r="H387" s="204" t="s">
        <v>153</v>
      </c>
      <c r="I387" s="204" t="s">
        <v>142</v>
      </c>
      <c r="J387" s="202">
        <f>ROUND((F387*D381/3600)*(1-I387),5)</f>
        <v>4.0000000000000003E-5</v>
      </c>
      <c r="K387" s="202">
        <f>ROUND((F387*E381/1000000)*(1-I387),6)</f>
        <v>1.5E-5</v>
      </c>
      <c r="L387" s="25">
        <f>SUM(J381:J387)</f>
        <v>9.3000000000000011E-5</v>
      </c>
      <c r="M387" s="25">
        <f>SUM(K381:K387)</f>
        <v>3.6999999999999998E-5</v>
      </c>
      <c r="N387" s="924"/>
      <c r="O387" s="5"/>
      <c r="P387" s="5"/>
      <c r="Q387" s="5"/>
    </row>
    <row r="388" spans="1:17" x14ac:dyDescent="0.25">
      <c r="L388" s="903">
        <f>SUM(L355:L387)</f>
        <v>2.7230930000000004</v>
      </c>
      <c r="M388" s="903">
        <f>SUM(M355:M387)</f>
        <v>5.1159369999999997</v>
      </c>
      <c r="N388" s="904">
        <v>2029</v>
      </c>
    </row>
  </sheetData>
  <mergeCells count="292">
    <mergeCell ref="A15:K15"/>
    <mergeCell ref="A16:K16"/>
    <mergeCell ref="A17:K17"/>
    <mergeCell ref="A19:W19"/>
    <mergeCell ref="A28:A29"/>
    <mergeCell ref="B28:B29"/>
    <mergeCell ref="C28:C29"/>
    <mergeCell ref="D28:E28"/>
    <mergeCell ref="F28:F29"/>
    <mergeCell ref="G28:G29"/>
    <mergeCell ref="H28:H29"/>
    <mergeCell ref="I28:I29"/>
    <mergeCell ref="J28:K28"/>
    <mergeCell ref="A27:K27"/>
    <mergeCell ref="A1:K1"/>
    <mergeCell ref="A3:P3"/>
    <mergeCell ref="A4:K4"/>
    <mergeCell ref="A6:K6"/>
    <mergeCell ref="A7:K7"/>
    <mergeCell ref="A8:K8"/>
    <mergeCell ref="A9:K9"/>
    <mergeCell ref="A11:K11"/>
    <mergeCell ref="A14:K14"/>
    <mergeCell ref="D179:D185"/>
    <mergeCell ref="E179:E185"/>
    <mergeCell ref="A179:A185"/>
    <mergeCell ref="B179:B185"/>
    <mergeCell ref="C179:C185"/>
    <mergeCell ref="C187:C193"/>
    <mergeCell ref="C195:C201"/>
    <mergeCell ref="D195:D201"/>
    <mergeCell ref="E195:E201"/>
    <mergeCell ref="A235:K235"/>
    <mergeCell ref="A236:A242"/>
    <mergeCell ref="B236:B242"/>
    <mergeCell ref="C236:C242"/>
    <mergeCell ref="A186:K186"/>
    <mergeCell ref="B284:B290"/>
    <mergeCell ref="D236:D242"/>
    <mergeCell ref="E236:E242"/>
    <mergeCell ref="A227:K227"/>
    <mergeCell ref="A194:K194"/>
    <mergeCell ref="A195:A201"/>
    <mergeCell ref="B195:B201"/>
    <mergeCell ref="A226:K226"/>
    <mergeCell ref="A187:A193"/>
    <mergeCell ref="B187:B193"/>
    <mergeCell ref="A218:K218"/>
    <mergeCell ref="A219:A225"/>
    <mergeCell ref="B219:B225"/>
    <mergeCell ref="D187:D193"/>
    <mergeCell ref="E187:E193"/>
    <mergeCell ref="C219:C225"/>
    <mergeCell ref="D219:D225"/>
    <mergeCell ref="E219:E225"/>
    <mergeCell ref="A268:A274"/>
    <mergeCell ref="D324:D330"/>
    <mergeCell ref="E324:E330"/>
    <mergeCell ref="A332:A338"/>
    <mergeCell ref="B332:B338"/>
    <mergeCell ref="C332:C338"/>
    <mergeCell ref="D332:D338"/>
    <mergeCell ref="E332:E338"/>
    <mergeCell ref="A275:K275"/>
    <mergeCell ref="A276:A282"/>
    <mergeCell ref="B276:B282"/>
    <mergeCell ref="C276:C282"/>
    <mergeCell ref="D276:D282"/>
    <mergeCell ref="E276:E282"/>
    <mergeCell ref="A299:K299"/>
    <mergeCell ref="A300:A306"/>
    <mergeCell ref="B300:B306"/>
    <mergeCell ref="A283:K283"/>
    <mergeCell ref="A284:A290"/>
    <mergeCell ref="C324:C330"/>
    <mergeCell ref="A154:K154"/>
    <mergeCell ref="A155:A161"/>
    <mergeCell ref="B155:B161"/>
    <mergeCell ref="C155:C161"/>
    <mergeCell ref="D155:D161"/>
    <mergeCell ref="E155:E161"/>
    <mergeCell ref="C171:C177"/>
    <mergeCell ref="D171:D177"/>
    <mergeCell ref="E171:E177"/>
    <mergeCell ref="A162:K162"/>
    <mergeCell ref="A163:A169"/>
    <mergeCell ref="B163:B169"/>
    <mergeCell ref="C163:C169"/>
    <mergeCell ref="D163:D169"/>
    <mergeCell ref="E163:E169"/>
    <mergeCell ref="A171:A177"/>
    <mergeCell ref="B171:B177"/>
    <mergeCell ref="A170:K170"/>
    <mergeCell ref="A178:K178"/>
    <mergeCell ref="A347:K347"/>
    <mergeCell ref="A315:K315"/>
    <mergeCell ref="A316:A322"/>
    <mergeCell ref="B316:B322"/>
    <mergeCell ref="C316:C322"/>
    <mergeCell ref="D316:D322"/>
    <mergeCell ref="E316:E322"/>
    <mergeCell ref="A291:K291"/>
    <mergeCell ref="A292:A298"/>
    <mergeCell ref="B292:B298"/>
    <mergeCell ref="C292:C298"/>
    <mergeCell ref="C300:C306"/>
    <mergeCell ref="D300:D306"/>
    <mergeCell ref="E300:E306"/>
    <mergeCell ref="A339:K339"/>
    <mergeCell ref="A340:A346"/>
    <mergeCell ref="B340:B346"/>
    <mergeCell ref="C340:C346"/>
    <mergeCell ref="D340:D346"/>
    <mergeCell ref="E340:E346"/>
    <mergeCell ref="A323:K323"/>
    <mergeCell ref="A324:A330"/>
    <mergeCell ref="B324:B330"/>
    <mergeCell ref="A57:K57"/>
    <mergeCell ref="A58:A64"/>
    <mergeCell ref="B58:B64"/>
    <mergeCell ref="C58:C64"/>
    <mergeCell ref="D58:D64"/>
    <mergeCell ref="E58:E64"/>
    <mergeCell ref="A105:K105"/>
    <mergeCell ref="A114:K114"/>
    <mergeCell ref="A115:A121"/>
    <mergeCell ref="B115:B121"/>
    <mergeCell ref="C115:C121"/>
    <mergeCell ref="D115:D121"/>
    <mergeCell ref="E115:E121"/>
    <mergeCell ref="A106:K106"/>
    <mergeCell ref="A107:A113"/>
    <mergeCell ref="B107:B113"/>
    <mergeCell ref="C107:C113"/>
    <mergeCell ref="D107:D113"/>
    <mergeCell ref="D82:D88"/>
    <mergeCell ref="A65:K65"/>
    <mergeCell ref="A66:A72"/>
    <mergeCell ref="B66:B72"/>
    <mergeCell ref="C66:C72"/>
    <mergeCell ref="D66:D72"/>
    <mergeCell ref="A33:K33"/>
    <mergeCell ref="A34:A40"/>
    <mergeCell ref="B34:B40"/>
    <mergeCell ref="C34:C40"/>
    <mergeCell ref="D34:D40"/>
    <mergeCell ref="E34:E40"/>
    <mergeCell ref="A32:K32"/>
    <mergeCell ref="A31:K31"/>
    <mergeCell ref="A41:K41"/>
    <mergeCell ref="A42:A48"/>
    <mergeCell ref="B42:B48"/>
    <mergeCell ref="C42:C48"/>
    <mergeCell ref="D42:D48"/>
    <mergeCell ref="A50:A56"/>
    <mergeCell ref="B50:B56"/>
    <mergeCell ref="C50:C56"/>
    <mergeCell ref="D50:D56"/>
    <mergeCell ref="E50:E56"/>
    <mergeCell ref="E42:E48"/>
    <mergeCell ref="A49:K49"/>
    <mergeCell ref="E66:E72"/>
    <mergeCell ref="A122:K122"/>
    <mergeCell ref="E82:E88"/>
    <mergeCell ref="A73:K73"/>
    <mergeCell ref="A74:A80"/>
    <mergeCell ref="B74:B80"/>
    <mergeCell ref="C74:C80"/>
    <mergeCell ref="D74:D80"/>
    <mergeCell ref="E74:E80"/>
    <mergeCell ref="A89:K89"/>
    <mergeCell ref="A90:A96"/>
    <mergeCell ref="B90:B96"/>
    <mergeCell ref="C90:C96"/>
    <mergeCell ref="A81:K81"/>
    <mergeCell ref="A82:A88"/>
    <mergeCell ref="B82:B88"/>
    <mergeCell ref="C82:C88"/>
    <mergeCell ref="E107:E113"/>
    <mergeCell ref="A130:K130"/>
    <mergeCell ref="A131:A137"/>
    <mergeCell ref="B131:B137"/>
    <mergeCell ref="C131:C137"/>
    <mergeCell ref="D131:D137"/>
    <mergeCell ref="E131:E137"/>
    <mergeCell ref="A138:K138"/>
    <mergeCell ref="A139:A145"/>
    <mergeCell ref="B139:B145"/>
    <mergeCell ref="C139:C145"/>
    <mergeCell ref="D139:D145"/>
    <mergeCell ref="E139:E145"/>
    <mergeCell ref="A146:K146"/>
    <mergeCell ref="A147:A153"/>
    <mergeCell ref="B147:B153"/>
    <mergeCell ref="C147:C153"/>
    <mergeCell ref="D147:D153"/>
    <mergeCell ref="E147:E153"/>
    <mergeCell ref="A348:K348"/>
    <mergeCell ref="A349:A355"/>
    <mergeCell ref="B349:B355"/>
    <mergeCell ref="D308:D314"/>
    <mergeCell ref="E308:E314"/>
    <mergeCell ref="C252:C258"/>
    <mergeCell ref="D252:D258"/>
    <mergeCell ref="E252:E258"/>
    <mergeCell ref="D292:D298"/>
    <mergeCell ref="A260:A266"/>
    <mergeCell ref="B260:B266"/>
    <mergeCell ref="C260:C266"/>
    <mergeCell ref="D260:D266"/>
    <mergeCell ref="E260:E266"/>
    <mergeCell ref="C284:C290"/>
    <mergeCell ref="D284:D290"/>
    <mergeCell ref="E284:E290"/>
    <mergeCell ref="A267:K267"/>
    <mergeCell ref="A123:A129"/>
    <mergeCell ref="B123:B129"/>
    <mergeCell ref="C123:C129"/>
    <mergeCell ref="D123:D129"/>
    <mergeCell ref="E123:E129"/>
    <mergeCell ref="C349:C355"/>
    <mergeCell ref="D349:D355"/>
    <mergeCell ref="E349:E355"/>
    <mergeCell ref="A228:A234"/>
    <mergeCell ref="B228:B234"/>
    <mergeCell ref="C228:C234"/>
    <mergeCell ref="D228:D234"/>
    <mergeCell ref="E228:E234"/>
    <mergeCell ref="A251:K251"/>
    <mergeCell ref="A252:A258"/>
    <mergeCell ref="B252:B258"/>
    <mergeCell ref="C211:C217"/>
    <mergeCell ref="D211:D217"/>
    <mergeCell ref="E211:E217"/>
    <mergeCell ref="E292:E298"/>
    <mergeCell ref="A307:K307"/>
    <mergeCell ref="A308:A314"/>
    <mergeCell ref="B308:B314"/>
    <mergeCell ref="C308:C314"/>
    <mergeCell ref="A372:K372"/>
    <mergeCell ref="A373:A379"/>
    <mergeCell ref="B373:B379"/>
    <mergeCell ref="C373:C379"/>
    <mergeCell ref="D373:D379"/>
    <mergeCell ref="E373:E379"/>
    <mergeCell ref="A356:K356"/>
    <mergeCell ref="A357:A363"/>
    <mergeCell ref="B357:B363"/>
    <mergeCell ref="C357:C363"/>
    <mergeCell ref="D357:D363"/>
    <mergeCell ref="E357:E363"/>
    <mergeCell ref="A364:K364"/>
    <mergeCell ref="A365:A371"/>
    <mergeCell ref="B365:B371"/>
    <mergeCell ref="C365:C371"/>
    <mergeCell ref="D365:D371"/>
    <mergeCell ref="E365:E371"/>
    <mergeCell ref="B268:B274"/>
    <mergeCell ref="C268:C274"/>
    <mergeCell ref="D268:D274"/>
    <mergeCell ref="E268:E274"/>
    <mergeCell ref="A243:K243"/>
    <mergeCell ref="A244:A250"/>
    <mergeCell ref="B244:B250"/>
    <mergeCell ref="C244:C250"/>
    <mergeCell ref="D244:D250"/>
    <mergeCell ref="E244:E250"/>
    <mergeCell ref="A259:K259"/>
    <mergeCell ref="A380:K380"/>
    <mergeCell ref="A381:A387"/>
    <mergeCell ref="B381:B387"/>
    <mergeCell ref="C381:C387"/>
    <mergeCell ref="D381:D387"/>
    <mergeCell ref="E381:E387"/>
    <mergeCell ref="D90:D96"/>
    <mergeCell ref="E90:E96"/>
    <mergeCell ref="A202:K202"/>
    <mergeCell ref="A203:A209"/>
    <mergeCell ref="B203:B209"/>
    <mergeCell ref="C203:C209"/>
    <mergeCell ref="D203:D209"/>
    <mergeCell ref="E203:E209"/>
    <mergeCell ref="A331:K331"/>
    <mergeCell ref="A97:K97"/>
    <mergeCell ref="A98:A104"/>
    <mergeCell ref="B98:B104"/>
    <mergeCell ref="C98:C104"/>
    <mergeCell ref="D98:D104"/>
    <mergeCell ref="E98:E104"/>
    <mergeCell ref="A210:K210"/>
    <mergeCell ref="A211:A217"/>
    <mergeCell ref="B211:B217"/>
  </mergeCells>
  <pageMargins left="0.31496062992125984" right="0.31496062992125984" top="0.78740157480314965" bottom="0.39370078740157483" header="0.31496062992125984" footer="0.31496062992125984"/>
  <pageSetup paperSize="9" firstPageNumber="81" orientation="landscape" useFirstPageNumber="1" r:id="rId1"/>
  <headerFooter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BCDC1-3539-4285-8784-6E9B6B88E6EF}">
  <dimension ref="A1:R121"/>
  <sheetViews>
    <sheetView view="pageBreakPreview" zoomScaleNormal="100" zoomScaleSheetLayoutView="100" workbookViewId="0">
      <selection activeCell="L30" sqref="L30"/>
    </sheetView>
  </sheetViews>
  <sheetFormatPr defaultRowHeight="15" x14ac:dyDescent="0.25"/>
  <cols>
    <col min="1" max="1" width="5" customWidth="1"/>
    <col min="2" max="2" width="10.85546875" customWidth="1"/>
    <col min="3" max="3" width="12.7109375" customWidth="1"/>
    <col min="4" max="4" width="9.28515625" customWidth="1"/>
    <col min="5" max="5" width="8.7109375" customWidth="1"/>
    <col min="6" max="6" width="5.28515625" customWidth="1"/>
    <col min="7" max="7" width="6.85546875" customWidth="1"/>
    <col min="8" max="8" width="6.140625" customWidth="1"/>
    <col min="9" max="9" width="6.28515625" customWidth="1"/>
    <col min="10" max="10" width="5.5703125" customWidth="1"/>
    <col min="11" max="11" width="7.140625" customWidth="1"/>
    <col min="12" max="12" width="17.85546875" customWidth="1"/>
    <col min="13" max="13" width="4.7109375" customWidth="1"/>
    <col min="14" max="14" width="6.7109375" customWidth="1"/>
    <col min="15" max="15" width="8" customWidth="1"/>
    <col min="16" max="16" width="8.7109375" customWidth="1"/>
  </cols>
  <sheetData>
    <row r="1" spans="1:17" ht="15" customHeight="1" x14ac:dyDescent="0.25">
      <c r="A1" s="1477" t="s">
        <v>1237</v>
      </c>
      <c r="B1" s="1477"/>
      <c r="C1" s="1477"/>
      <c r="D1" s="1477"/>
      <c r="E1" s="1477"/>
      <c r="F1" s="1477"/>
      <c r="G1" s="1477"/>
      <c r="H1" s="1477"/>
      <c r="I1" s="1477"/>
      <c r="J1" s="1477"/>
      <c r="K1" s="1477"/>
      <c r="L1" s="1477"/>
      <c r="M1" s="1477"/>
      <c r="N1" s="1477"/>
      <c r="O1" s="1477"/>
      <c r="P1" s="1477"/>
    </row>
    <row r="2" spans="1:17" ht="20.25" customHeight="1" x14ac:dyDescent="0.25">
      <c r="A2" s="1474" t="s">
        <v>790</v>
      </c>
      <c r="B2" s="1474" t="s">
        <v>1229</v>
      </c>
      <c r="C2" s="1474" t="s">
        <v>1230</v>
      </c>
      <c r="D2" s="1474" t="s">
        <v>131</v>
      </c>
      <c r="E2" s="1479" t="s">
        <v>1231</v>
      </c>
      <c r="F2" s="1474" t="s">
        <v>132</v>
      </c>
      <c r="G2" s="1474"/>
      <c r="H2" s="1475" t="s">
        <v>1232</v>
      </c>
      <c r="I2" s="1480"/>
      <c r="J2" s="1479" t="s">
        <v>1233</v>
      </c>
      <c r="K2" s="1479" t="s">
        <v>1234</v>
      </c>
      <c r="L2" s="1474" t="s">
        <v>41</v>
      </c>
      <c r="M2" s="1474" t="s">
        <v>42</v>
      </c>
      <c r="N2" s="1479" t="s">
        <v>134</v>
      </c>
      <c r="O2" s="1475" t="s">
        <v>135</v>
      </c>
      <c r="P2" s="1476"/>
    </row>
    <row r="3" spans="1:17" ht="19.5" customHeight="1" x14ac:dyDescent="0.25">
      <c r="A3" s="1474"/>
      <c r="B3" s="1474"/>
      <c r="C3" s="1474"/>
      <c r="D3" s="1478"/>
      <c r="E3" s="1479"/>
      <c r="F3" s="42" t="s">
        <v>136</v>
      </c>
      <c r="G3" s="42" t="s">
        <v>137</v>
      </c>
      <c r="H3" s="42" t="s">
        <v>1235</v>
      </c>
      <c r="I3" s="42" t="s">
        <v>1236</v>
      </c>
      <c r="J3" s="1479"/>
      <c r="K3" s="1479"/>
      <c r="L3" s="1474"/>
      <c r="M3" s="1474"/>
      <c r="N3" s="1479"/>
      <c r="O3" s="33" t="s">
        <v>46</v>
      </c>
      <c r="P3" s="42" t="s">
        <v>45</v>
      </c>
    </row>
    <row r="4" spans="1:17" ht="14.1" customHeight="1" x14ac:dyDescent="0.25">
      <c r="A4" s="947">
        <v>1</v>
      </c>
      <c r="B4" s="948">
        <v>2</v>
      </c>
      <c r="C4" s="948">
        <v>3</v>
      </c>
      <c r="D4" s="947">
        <v>4</v>
      </c>
      <c r="E4" s="949">
        <v>5</v>
      </c>
      <c r="F4" s="947">
        <v>6</v>
      </c>
      <c r="G4" s="947">
        <v>7</v>
      </c>
      <c r="H4" s="950">
        <v>8</v>
      </c>
      <c r="I4" s="950">
        <v>9</v>
      </c>
      <c r="J4" s="947">
        <v>10</v>
      </c>
      <c r="K4" s="947">
        <v>11</v>
      </c>
      <c r="L4" s="947">
        <v>12</v>
      </c>
      <c r="M4" s="947">
        <v>13</v>
      </c>
      <c r="N4" s="947">
        <v>14</v>
      </c>
      <c r="O4" s="1098">
        <v>15</v>
      </c>
      <c r="P4" s="947">
        <v>16</v>
      </c>
    </row>
    <row r="5" spans="1:17" ht="14.1" customHeight="1" x14ac:dyDescent="0.25">
      <c r="A5" s="1481" t="s">
        <v>365</v>
      </c>
      <c r="B5" s="1482"/>
      <c r="C5" s="1483"/>
      <c r="D5" s="1483"/>
      <c r="E5" s="1482"/>
      <c r="F5" s="1482"/>
      <c r="G5" s="1482"/>
      <c r="H5" s="1482"/>
      <c r="I5" s="1482"/>
      <c r="J5" s="1482"/>
      <c r="K5" s="1482"/>
      <c r="L5" s="1482"/>
      <c r="M5" s="1482"/>
      <c r="N5" s="1482"/>
      <c r="O5" s="1482"/>
      <c r="P5" s="1484"/>
    </row>
    <row r="6" spans="1:17" ht="14.1" customHeight="1" x14ac:dyDescent="0.25">
      <c r="A6" s="1455" t="s">
        <v>5</v>
      </c>
      <c r="B6" s="1456"/>
      <c r="C6" s="1457"/>
      <c r="D6" s="1457"/>
      <c r="E6" s="1456"/>
      <c r="F6" s="1456"/>
      <c r="G6" s="1456"/>
      <c r="H6" s="1456"/>
      <c r="I6" s="1456"/>
      <c r="J6" s="1456"/>
      <c r="K6" s="1456"/>
      <c r="L6" s="1456"/>
      <c r="M6" s="1456"/>
      <c r="N6" s="1456"/>
      <c r="O6" s="1456"/>
      <c r="P6" s="1458"/>
    </row>
    <row r="7" spans="1:17" ht="14.1" customHeight="1" x14ac:dyDescent="0.25">
      <c r="A7" s="1459" t="s">
        <v>8</v>
      </c>
      <c r="B7" s="1460"/>
      <c r="C7" s="1460"/>
      <c r="D7" s="1460"/>
      <c r="E7" s="1460"/>
      <c r="F7" s="1460"/>
      <c r="G7" s="1460"/>
      <c r="H7" s="1460"/>
      <c r="I7" s="1460"/>
      <c r="J7" s="1460"/>
      <c r="K7" s="1460"/>
      <c r="L7" s="1460"/>
      <c r="M7" s="1460"/>
      <c r="N7" s="1460"/>
      <c r="O7" s="1460"/>
      <c r="P7" s="1461"/>
    </row>
    <row r="8" spans="1:17" ht="14.1" customHeight="1" x14ac:dyDescent="0.25">
      <c r="A8" s="961">
        <v>7006</v>
      </c>
      <c r="B8" s="1462" t="s">
        <v>1242</v>
      </c>
      <c r="C8" s="1462" t="s">
        <v>1241</v>
      </c>
      <c r="D8" s="952" t="s">
        <v>1243</v>
      </c>
      <c r="E8" s="953"/>
      <c r="F8" s="954">
        <v>45.25</v>
      </c>
      <c r="G8" s="955">
        <v>923.08</v>
      </c>
      <c r="H8" s="952"/>
      <c r="I8" s="953"/>
      <c r="J8" s="991">
        <f>G8/F8</f>
        <v>20.399558011049724</v>
      </c>
      <c r="K8" s="956">
        <v>0.96</v>
      </c>
      <c r="L8" s="957" t="s">
        <v>149</v>
      </c>
      <c r="M8" s="958" t="s">
        <v>150</v>
      </c>
      <c r="N8" s="958"/>
      <c r="O8" s="1019">
        <f>ROUND(((F8*K8)/(3600)),5)</f>
        <v>1.2070000000000001E-2</v>
      </c>
      <c r="P8" s="959">
        <f>ROUND((G8*K8/1000000),5)</f>
        <v>8.8999999999999995E-4</v>
      </c>
    </row>
    <row r="9" spans="1:17" ht="14.1" customHeight="1" x14ac:dyDescent="0.25">
      <c r="A9" s="990" t="s">
        <v>1240</v>
      </c>
      <c r="B9" s="1463"/>
      <c r="C9" s="1463"/>
      <c r="D9" s="960"/>
      <c r="E9" s="961"/>
      <c r="F9" s="962"/>
      <c r="G9" s="963"/>
      <c r="H9" s="960"/>
      <c r="I9" s="961"/>
      <c r="J9" s="961"/>
      <c r="K9" s="956">
        <v>0.01</v>
      </c>
      <c r="L9" s="957" t="s">
        <v>145</v>
      </c>
      <c r="M9" s="958" t="s">
        <v>146</v>
      </c>
      <c r="N9" s="958"/>
      <c r="O9" s="1019">
        <f>ROUND(((F8*K9)/(3600)),5)</f>
        <v>1.2999999999999999E-4</v>
      </c>
      <c r="P9" s="959">
        <f>ROUND((G8*K9/1000000),5)</f>
        <v>1.0000000000000001E-5</v>
      </c>
    </row>
    <row r="10" spans="1:17" ht="14.1" customHeight="1" x14ac:dyDescent="0.25">
      <c r="A10" s="968"/>
      <c r="B10" s="1463"/>
      <c r="C10" s="1463"/>
      <c r="D10" s="960"/>
      <c r="E10" s="961"/>
      <c r="F10" s="962"/>
      <c r="G10" s="963"/>
      <c r="H10" s="960"/>
      <c r="I10" s="961"/>
      <c r="J10" s="961"/>
      <c r="K10" s="956">
        <v>0.16</v>
      </c>
      <c r="L10" s="964" t="s">
        <v>1244</v>
      </c>
      <c r="M10" s="958" t="s">
        <v>1245</v>
      </c>
      <c r="N10" s="958"/>
      <c r="O10" s="1019">
        <f>ROUND(((F8*K10)/(3600)),5)</f>
        <v>2.0100000000000001E-3</v>
      </c>
      <c r="P10" s="959">
        <f>ROUND((G8*K10/1000000),5)</f>
        <v>1.4999999999999999E-4</v>
      </c>
      <c r="Q10" s="1"/>
    </row>
    <row r="11" spans="1:17" ht="14.1" customHeight="1" x14ac:dyDescent="0.25">
      <c r="A11" s="968"/>
      <c r="B11" s="1463"/>
      <c r="C11" s="1463"/>
      <c r="D11" s="960"/>
      <c r="E11" s="961"/>
      <c r="F11" s="965"/>
      <c r="G11" s="966"/>
      <c r="H11" s="967"/>
      <c r="I11" s="968"/>
      <c r="J11" s="968"/>
      <c r="K11" s="956">
        <v>0.17</v>
      </c>
      <c r="L11" s="957" t="s">
        <v>1246</v>
      </c>
      <c r="M11" s="958" t="s">
        <v>1247</v>
      </c>
      <c r="N11" s="958"/>
      <c r="O11" s="1019">
        <f>ROUND(((F8*K11)/(3600)),5)</f>
        <v>2.14E-3</v>
      </c>
      <c r="P11" s="959">
        <f>ROUND((G8*K11/1000000),5)</f>
        <v>1.6000000000000001E-4</v>
      </c>
    </row>
    <row r="12" spans="1:17" ht="14.1" customHeight="1" x14ac:dyDescent="0.25">
      <c r="A12" s="968"/>
      <c r="B12" s="1463"/>
      <c r="C12" s="1463"/>
      <c r="D12" s="969"/>
      <c r="E12" s="970"/>
      <c r="F12" s="965"/>
      <c r="G12" s="966"/>
      <c r="H12" s="967"/>
      <c r="I12" s="968"/>
      <c r="J12" s="968"/>
      <c r="K12" s="956">
        <v>0.12</v>
      </c>
      <c r="L12" s="957" t="s">
        <v>1248</v>
      </c>
      <c r="M12" s="958" t="s">
        <v>1249</v>
      </c>
      <c r="N12" s="958"/>
      <c r="O12" s="1020">
        <f>ROUND(((F8*K12)/(3600)),5)</f>
        <v>1.5100000000000001E-3</v>
      </c>
      <c r="P12" s="971">
        <f>ROUND((G8*K12/1000000),5)</f>
        <v>1.1E-4</v>
      </c>
    </row>
    <row r="13" spans="1:17" ht="14.1" customHeight="1" x14ac:dyDescent="0.25">
      <c r="A13" s="968"/>
      <c r="B13" s="1463"/>
      <c r="C13" s="1463"/>
      <c r="D13" s="967"/>
      <c r="E13" s="968"/>
      <c r="F13" s="965"/>
      <c r="G13" s="966"/>
      <c r="H13" s="967"/>
      <c r="I13" s="968"/>
      <c r="J13" s="968"/>
      <c r="K13" s="956">
        <v>0.15</v>
      </c>
      <c r="L13" s="972" t="s">
        <v>165</v>
      </c>
      <c r="M13" s="973" t="s">
        <v>144</v>
      </c>
      <c r="N13" s="973"/>
      <c r="O13" s="1019">
        <f>ROUND(((F8*K13)/(3600)),5)</f>
        <v>1.89E-3</v>
      </c>
      <c r="P13" s="959">
        <f>ROUND((G8*K13/1000000),5)</f>
        <v>1.3999999999999999E-4</v>
      </c>
    </row>
    <row r="14" spans="1:17" ht="14.1" customHeight="1" x14ac:dyDescent="0.25">
      <c r="A14" s="968"/>
      <c r="B14" s="1464"/>
      <c r="C14" s="1464"/>
      <c r="D14" s="974"/>
      <c r="E14" s="975"/>
      <c r="F14" s="976"/>
      <c r="G14" s="977"/>
      <c r="H14" s="974"/>
      <c r="I14" s="975"/>
      <c r="J14" s="975"/>
      <c r="K14" s="956">
        <v>0.18</v>
      </c>
      <c r="L14" s="957" t="s">
        <v>1239</v>
      </c>
      <c r="M14" s="958" t="s">
        <v>153</v>
      </c>
      <c r="N14" s="958"/>
      <c r="O14" s="1019">
        <f>ROUND(((F8*K14)/(3600)),5)</f>
        <v>2.2599999999999999E-3</v>
      </c>
      <c r="P14" s="959">
        <f>ROUND((G8*K14/1000000),5)</f>
        <v>1.7000000000000001E-4</v>
      </c>
    </row>
    <row r="15" spans="1:17" ht="14.1" customHeight="1" x14ac:dyDescent="0.25">
      <c r="B15" s="1450" t="s">
        <v>1242</v>
      </c>
      <c r="C15" s="1450" t="s">
        <v>1250</v>
      </c>
      <c r="D15" s="1003" t="s">
        <v>1243</v>
      </c>
      <c r="E15" s="1004"/>
      <c r="F15" s="1003">
        <v>85.94</v>
      </c>
      <c r="G15" s="1005">
        <v>1100</v>
      </c>
      <c r="H15" s="1005"/>
      <c r="I15" s="1003"/>
      <c r="J15" s="1016">
        <f>G15/F15</f>
        <v>12.799627647195718</v>
      </c>
      <c r="K15" s="1006">
        <v>7.67</v>
      </c>
      <c r="L15" s="1018" t="s">
        <v>149</v>
      </c>
      <c r="M15" s="993" t="s">
        <v>150</v>
      </c>
      <c r="N15" s="1019"/>
      <c r="O15" s="1019">
        <f>ROUND(((F15*K15)/(3600)),5)</f>
        <v>0.18310000000000001</v>
      </c>
      <c r="P15" s="1019">
        <f>ROUND((G15*K15/1000000),5)</f>
        <v>8.4399999999999996E-3</v>
      </c>
    </row>
    <row r="16" spans="1:17" ht="14.1" customHeight="1" x14ac:dyDescent="0.25">
      <c r="B16" s="1451"/>
      <c r="C16" s="1453"/>
      <c r="D16" s="1009" t="s">
        <v>1255</v>
      </c>
      <c r="E16" s="1010"/>
      <c r="F16" s="1009"/>
      <c r="G16" s="1011"/>
      <c r="H16" s="1011"/>
      <c r="I16" s="1009"/>
      <c r="J16" s="1009"/>
      <c r="K16" s="1006">
        <v>1.9</v>
      </c>
      <c r="L16" s="1018" t="s">
        <v>145</v>
      </c>
      <c r="M16" s="993" t="s">
        <v>146</v>
      </c>
      <c r="N16" s="1019"/>
      <c r="O16" s="1019">
        <f>ROUND(((F15*K16)/(3600)),5)</f>
        <v>4.5359999999999998E-2</v>
      </c>
      <c r="P16" s="1019">
        <f>ROUND((G15*K16/1000000),5)</f>
        <v>2.0899999999999998E-3</v>
      </c>
    </row>
    <row r="17" spans="1:16" ht="14.1" customHeight="1" x14ac:dyDescent="0.25">
      <c r="B17" s="1452"/>
      <c r="C17" s="1454"/>
      <c r="D17" s="1012"/>
      <c r="E17" s="1013"/>
      <c r="F17" s="1012"/>
      <c r="G17" s="1014"/>
      <c r="H17" s="1014"/>
      <c r="I17" s="1012"/>
      <c r="J17" s="1012"/>
      <c r="K17" s="1006">
        <v>0.43</v>
      </c>
      <c r="L17" s="992" t="s">
        <v>1238</v>
      </c>
      <c r="M17" s="993" t="s">
        <v>49</v>
      </c>
      <c r="N17" s="1019"/>
      <c r="O17" s="1019">
        <f>ROUND(((F15*K17)/(3600)),5)</f>
        <v>1.027E-2</v>
      </c>
      <c r="P17" s="1019">
        <f>ROUND((G15*K17/1000000),5)</f>
        <v>4.6999999999999999E-4</v>
      </c>
    </row>
    <row r="18" spans="1:16" ht="14.1" customHeight="1" x14ac:dyDescent="0.25">
      <c r="B18" s="1444" t="s">
        <v>1242</v>
      </c>
      <c r="C18" s="1447" t="s">
        <v>1251</v>
      </c>
      <c r="D18" s="996" t="s">
        <v>1243</v>
      </c>
      <c r="E18" s="997"/>
      <c r="F18" s="995">
        <v>40</v>
      </c>
      <c r="G18" s="994">
        <v>400</v>
      </c>
      <c r="H18" s="996"/>
      <c r="I18" s="997"/>
      <c r="J18" s="998">
        <f>G18/F18</f>
        <v>10</v>
      </c>
      <c r="K18" s="1017">
        <v>2.6</v>
      </c>
      <c r="L18" s="1018" t="s">
        <v>149</v>
      </c>
      <c r="M18" s="993" t="s">
        <v>150</v>
      </c>
      <c r="N18" s="993"/>
      <c r="O18" s="1019">
        <f>ROUND(((F18*K18)/(3600)),5)</f>
        <v>2.8889999999999999E-2</v>
      </c>
      <c r="P18" s="1019">
        <f>ROUND((G18*K18/1000000),5)</f>
        <v>1.0399999999999999E-3</v>
      </c>
    </row>
    <row r="19" spans="1:16" ht="14.1" customHeight="1" x14ac:dyDescent="0.25">
      <c r="B19" s="1445"/>
      <c r="C19" s="1448"/>
      <c r="D19" s="1001" t="s">
        <v>1252</v>
      </c>
      <c r="E19" s="1002"/>
      <c r="F19" s="999"/>
      <c r="G19" s="1000"/>
      <c r="H19" s="1001"/>
      <c r="I19" s="1002"/>
      <c r="J19" s="1002"/>
      <c r="K19" s="1017">
        <v>0.2</v>
      </c>
      <c r="L19" s="1018" t="s">
        <v>145</v>
      </c>
      <c r="M19" s="993" t="s">
        <v>146</v>
      </c>
      <c r="N19" s="993"/>
      <c r="O19" s="1019">
        <f>ROUND(((F18*K19)/(3600)),5)</f>
        <v>2.2200000000000002E-3</v>
      </c>
      <c r="P19" s="1019">
        <f>ROUND((G18*K19/1000000),5)</f>
        <v>8.0000000000000007E-5</v>
      </c>
    </row>
    <row r="20" spans="1:16" ht="14.1" customHeight="1" x14ac:dyDescent="0.25">
      <c r="B20" s="1445"/>
      <c r="C20" s="1448"/>
      <c r="D20" s="1001"/>
      <c r="E20" s="1002"/>
      <c r="F20" s="999"/>
      <c r="G20" s="1000"/>
      <c r="H20" s="1001"/>
      <c r="I20" s="1002"/>
      <c r="J20" s="1002"/>
      <c r="K20" s="1017">
        <v>1.5</v>
      </c>
      <c r="L20" s="992" t="s">
        <v>1238</v>
      </c>
      <c r="M20" s="993" t="s">
        <v>49</v>
      </c>
      <c r="N20" s="993"/>
      <c r="O20" s="1019">
        <f>ROUND(((F18*K20)/(3600)),5)</f>
        <v>1.6670000000000001E-2</v>
      </c>
      <c r="P20" s="1019">
        <f>ROUND((G18*K20/1000000),5)</f>
        <v>5.9999999999999995E-4</v>
      </c>
    </row>
    <row r="21" spans="1:16" ht="14.1" customHeight="1" x14ac:dyDescent="0.25">
      <c r="B21" s="1445"/>
      <c r="C21" s="1448"/>
      <c r="D21" s="1001"/>
      <c r="E21" s="1002"/>
      <c r="F21" s="1033"/>
      <c r="G21" s="1034"/>
      <c r="H21" s="1035"/>
      <c r="I21" s="1026"/>
      <c r="J21" s="1026"/>
      <c r="K21" s="1017">
        <v>9</v>
      </c>
      <c r="L21" s="1018" t="s">
        <v>1248</v>
      </c>
      <c r="M21" s="993" t="s">
        <v>1249</v>
      </c>
      <c r="N21" s="993"/>
      <c r="O21" s="1019">
        <f>ROUND(((F18*K21)/(3600)),5)</f>
        <v>0.1</v>
      </c>
      <c r="P21" s="1019">
        <f>ROUND((G18*K21/1000000),5)</f>
        <v>3.5999999999999999E-3</v>
      </c>
    </row>
    <row r="22" spans="1:16" ht="14.1" customHeight="1" x14ac:dyDescent="0.25">
      <c r="B22" s="1446"/>
      <c r="C22" s="1449"/>
      <c r="D22" s="1027"/>
      <c r="E22" s="1036"/>
      <c r="F22" s="1037"/>
      <c r="G22" s="1038"/>
      <c r="H22" s="1039"/>
      <c r="I22" s="1030"/>
      <c r="J22" s="1030"/>
      <c r="K22" s="1017">
        <v>0.7</v>
      </c>
      <c r="L22" s="992" t="s">
        <v>1244</v>
      </c>
      <c r="M22" s="993" t="s">
        <v>1245</v>
      </c>
      <c r="N22" s="993"/>
      <c r="O22" s="1020">
        <f>ROUND(((F18*K22)/(3600)),5)</f>
        <v>7.7799999999999996E-3</v>
      </c>
      <c r="P22" s="1020">
        <f>ROUND((G18*K22/1000000),5)</f>
        <v>2.7999999999999998E-4</v>
      </c>
    </row>
    <row r="23" spans="1:16" ht="14.1" customHeight="1" x14ac:dyDescent="0.25">
      <c r="B23" s="1444" t="s">
        <v>1242</v>
      </c>
      <c r="C23" s="1444" t="s">
        <v>1254</v>
      </c>
      <c r="D23" s="996" t="s">
        <v>1253</v>
      </c>
      <c r="E23" s="996">
        <v>5</v>
      </c>
      <c r="F23" s="996"/>
      <c r="G23" s="996"/>
      <c r="H23" s="996">
        <v>54.7</v>
      </c>
      <c r="I23" s="997">
        <v>54.7</v>
      </c>
      <c r="J23" s="997">
        <f>ROUND((I23/H23),2)</f>
        <v>1</v>
      </c>
      <c r="K23" s="1017">
        <v>0.04</v>
      </c>
      <c r="L23" s="1018" t="s">
        <v>145</v>
      </c>
      <c r="M23" s="993" t="s">
        <v>146</v>
      </c>
      <c r="N23" s="1019"/>
      <c r="O23" s="1019">
        <f>ROUND((H23*K23/3600),5)</f>
        <v>6.0999999999999997E-4</v>
      </c>
      <c r="P23" s="1019">
        <f>ROUND((I23*K23/1000000),6)</f>
        <v>1.9999999999999999E-6</v>
      </c>
    </row>
    <row r="24" spans="1:16" ht="14.1" customHeight="1" x14ac:dyDescent="0.25">
      <c r="B24" s="1445"/>
      <c r="C24" s="1445"/>
      <c r="D24" s="1025"/>
      <c r="E24" s="1025"/>
      <c r="F24" s="1001"/>
      <c r="G24" s="1001"/>
      <c r="H24" s="1001"/>
      <c r="I24" s="1002"/>
      <c r="J24" s="1026"/>
      <c r="K24" s="1017">
        <v>2.21</v>
      </c>
      <c r="L24" s="1018" t="s">
        <v>149</v>
      </c>
      <c r="M24" s="993" t="s">
        <v>150</v>
      </c>
      <c r="N24" s="1019"/>
      <c r="O24" s="1019">
        <f>ROUND((H23*K24/3600),5)</f>
        <v>3.3579999999999999E-2</v>
      </c>
      <c r="P24" s="1019">
        <f>ROUND((I23*K24/1000000),5)</f>
        <v>1.2E-4</v>
      </c>
    </row>
    <row r="25" spans="1:16" ht="14.1" customHeight="1" x14ac:dyDescent="0.25">
      <c r="B25" s="1445"/>
      <c r="C25" s="1445"/>
      <c r="D25" s="1025"/>
      <c r="E25" s="1025"/>
      <c r="F25" s="1001"/>
      <c r="G25" s="1001"/>
      <c r="H25" s="1001"/>
      <c r="I25" s="1002"/>
      <c r="J25" s="1026"/>
      <c r="K25" s="1017">
        <v>1.18</v>
      </c>
      <c r="L25" s="1018" t="s">
        <v>165</v>
      </c>
      <c r="M25" s="993" t="s">
        <v>144</v>
      </c>
      <c r="N25" s="1032"/>
      <c r="O25" s="1019">
        <f>ROUND((H23*K25/3600),5)</f>
        <v>1.7930000000000001E-2</v>
      </c>
      <c r="P25" s="1019">
        <f>ROUND((I23*K25/1000000),5)</f>
        <v>6.0000000000000002E-5</v>
      </c>
    </row>
    <row r="26" spans="1:16" ht="14.1" customHeight="1" x14ac:dyDescent="0.25">
      <c r="B26" s="1445"/>
      <c r="C26" s="1445"/>
      <c r="D26" s="1025"/>
      <c r="E26" s="1025"/>
      <c r="F26" s="1001"/>
      <c r="G26" s="1001"/>
      <c r="H26" s="1001"/>
      <c r="I26" s="1002"/>
      <c r="J26" s="1026"/>
      <c r="K26" s="995">
        <v>1.5</v>
      </c>
      <c r="L26" s="1018" t="s">
        <v>1239</v>
      </c>
      <c r="M26" s="993" t="s">
        <v>153</v>
      </c>
      <c r="N26" s="1032"/>
      <c r="O26" s="1019">
        <f>ROUND((H23*K26/3600),5)</f>
        <v>2.2790000000000001E-2</v>
      </c>
      <c r="P26" s="1019">
        <f>ROUND((I23*K26/1000000),5)</f>
        <v>8.0000000000000007E-5</v>
      </c>
    </row>
    <row r="27" spans="1:16" ht="14.1" customHeight="1" x14ac:dyDescent="0.25">
      <c r="A27" s="1465" t="s">
        <v>1256</v>
      </c>
      <c r="B27" s="1466"/>
      <c r="C27" s="1466"/>
      <c r="D27" s="1466"/>
      <c r="E27" s="1466"/>
      <c r="F27" s="1466"/>
      <c r="G27" s="1466"/>
      <c r="H27" s="1466"/>
      <c r="I27" s="1466"/>
      <c r="J27" s="1466"/>
      <c r="K27" s="1467"/>
      <c r="L27" s="1040" t="s">
        <v>149</v>
      </c>
      <c r="M27" s="1041" t="s">
        <v>150</v>
      </c>
      <c r="N27" s="1041"/>
      <c r="O27" s="1044">
        <f>O8+O15+O18+O24</f>
        <v>0.25763999999999998</v>
      </c>
      <c r="P27" s="1044">
        <f>P8+P15+P18+P24</f>
        <v>1.0489999999999999E-2</v>
      </c>
    </row>
    <row r="28" spans="1:16" ht="14.1" customHeight="1" x14ac:dyDescent="0.25">
      <c r="A28" s="1468"/>
      <c r="B28" s="1469"/>
      <c r="C28" s="1469"/>
      <c r="D28" s="1469"/>
      <c r="E28" s="1469"/>
      <c r="F28" s="1469"/>
      <c r="G28" s="1469"/>
      <c r="H28" s="1469"/>
      <c r="I28" s="1469"/>
      <c r="J28" s="1469"/>
      <c r="K28" s="1470"/>
      <c r="L28" s="1040" t="s">
        <v>145</v>
      </c>
      <c r="M28" s="1041" t="s">
        <v>146</v>
      </c>
      <c r="N28" s="1045"/>
      <c r="O28" s="1044">
        <f>O9+O16+O19+O23</f>
        <v>4.8319999999999995E-2</v>
      </c>
      <c r="P28" s="1044">
        <f>P9+P16+P19+P23</f>
        <v>2.1819999999999999E-3</v>
      </c>
    </row>
    <row r="29" spans="1:16" ht="14.1" customHeight="1" x14ac:dyDescent="0.25">
      <c r="A29" s="1468"/>
      <c r="B29" s="1469"/>
      <c r="C29" s="1469"/>
      <c r="D29" s="1469"/>
      <c r="E29" s="1469"/>
      <c r="F29" s="1469"/>
      <c r="G29" s="1469"/>
      <c r="H29" s="1469"/>
      <c r="I29" s="1469"/>
      <c r="J29" s="1469"/>
      <c r="K29" s="1470"/>
      <c r="L29" s="1046" t="s">
        <v>1244</v>
      </c>
      <c r="M29" s="1041" t="s">
        <v>1245</v>
      </c>
      <c r="N29" s="1042"/>
      <c r="O29" s="1047">
        <f>O10+O22</f>
        <v>9.7900000000000001E-3</v>
      </c>
      <c r="P29" s="1047">
        <f>P10+P22</f>
        <v>4.2999999999999994E-4</v>
      </c>
    </row>
    <row r="30" spans="1:16" ht="14.1" customHeight="1" x14ac:dyDescent="0.25">
      <c r="A30" s="1468"/>
      <c r="B30" s="1469"/>
      <c r="C30" s="1469"/>
      <c r="D30" s="1469"/>
      <c r="E30" s="1469"/>
      <c r="F30" s="1469"/>
      <c r="G30" s="1469"/>
      <c r="H30" s="1469"/>
      <c r="I30" s="1469"/>
      <c r="J30" s="1469"/>
      <c r="K30" s="1470"/>
      <c r="L30" s="1040" t="s">
        <v>1246</v>
      </c>
      <c r="M30" s="1041" t="s">
        <v>1247</v>
      </c>
      <c r="N30" s="1042"/>
      <c r="O30" s="1044">
        <f>O11</f>
        <v>2.14E-3</v>
      </c>
      <c r="P30" s="1044">
        <f>P11</f>
        <v>1.6000000000000001E-4</v>
      </c>
    </row>
    <row r="31" spans="1:16" ht="14.1" customHeight="1" x14ac:dyDescent="0.25">
      <c r="A31" s="1468"/>
      <c r="B31" s="1469"/>
      <c r="C31" s="1469"/>
      <c r="D31" s="1469"/>
      <c r="E31" s="1469"/>
      <c r="F31" s="1469"/>
      <c r="G31" s="1469"/>
      <c r="H31" s="1469"/>
      <c r="I31" s="1469"/>
      <c r="J31" s="1469"/>
      <c r="K31" s="1470"/>
      <c r="L31" s="1040" t="s">
        <v>1248</v>
      </c>
      <c r="M31" s="1041" t="s">
        <v>1249</v>
      </c>
      <c r="N31" s="1042"/>
      <c r="O31" s="1047">
        <f>O12+O21</f>
        <v>0.10151</v>
      </c>
      <c r="P31" s="1047">
        <f>P12+P21</f>
        <v>3.7099999999999998E-3</v>
      </c>
    </row>
    <row r="32" spans="1:16" ht="14.1" customHeight="1" x14ac:dyDescent="0.25">
      <c r="A32" s="1468"/>
      <c r="B32" s="1469"/>
      <c r="C32" s="1469"/>
      <c r="D32" s="1469"/>
      <c r="E32" s="1469"/>
      <c r="F32" s="1469"/>
      <c r="G32" s="1469"/>
      <c r="H32" s="1469"/>
      <c r="I32" s="1469"/>
      <c r="J32" s="1469"/>
      <c r="K32" s="1470"/>
      <c r="L32" s="1050" t="s">
        <v>1238</v>
      </c>
      <c r="M32" s="1051" t="s">
        <v>49</v>
      </c>
      <c r="N32" s="1043"/>
      <c r="O32" s="1047">
        <f>O17+O20</f>
        <v>2.6939999999999999E-2</v>
      </c>
      <c r="P32" s="1047">
        <f>P17+P20</f>
        <v>1.07E-3</v>
      </c>
    </row>
    <row r="33" spans="1:18" ht="14.1" customHeight="1" x14ac:dyDescent="0.25">
      <c r="A33" s="1468"/>
      <c r="B33" s="1469"/>
      <c r="C33" s="1469"/>
      <c r="D33" s="1469"/>
      <c r="E33" s="1469"/>
      <c r="F33" s="1469"/>
      <c r="G33" s="1469"/>
      <c r="H33" s="1469"/>
      <c r="I33" s="1469"/>
      <c r="J33" s="1469"/>
      <c r="K33" s="1470"/>
      <c r="L33" s="1048" t="s">
        <v>165</v>
      </c>
      <c r="M33" s="1049" t="s">
        <v>144</v>
      </c>
      <c r="N33" s="1049"/>
      <c r="O33" s="1044">
        <f>O13+O25</f>
        <v>1.9820000000000001E-2</v>
      </c>
      <c r="P33" s="1044">
        <f>P13+P25</f>
        <v>1.9999999999999998E-4</v>
      </c>
    </row>
    <row r="34" spans="1:18" ht="14.1" customHeight="1" x14ac:dyDescent="0.25">
      <c r="A34" s="1471"/>
      <c r="B34" s="1472"/>
      <c r="C34" s="1472"/>
      <c r="D34" s="1472"/>
      <c r="E34" s="1472"/>
      <c r="F34" s="1472"/>
      <c r="G34" s="1472"/>
      <c r="H34" s="1472"/>
      <c r="I34" s="1472"/>
      <c r="J34" s="1472"/>
      <c r="K34" s="1473"/>
      <c r="L34" s="1040" t="s">
        <v>1239</v>
      </c>
      <c r="M34" s="1041" t="s">
        <v>153</v>
      </c>
      <c r="N34" s="1041"/>
      <c r="O34" s="1044">
        <f>O14+O26</f>
        <v>2.5050000000000003E-2</v>
      </c>
      <c r="P34" s="1044">
        <f>P14+P26</f>
        <v>2.5000000000000001E-4</v>
      </c>
      <c r="Q34" s="2">
        <f>SUM(O27:O34)</f>
        <v>0.49120999999999998</v>
      </c>
      <c r="R34" s="2">
        <f>SUM(P27:P34)</f>
        <v>1.8492000000000001E-2</v>
      </c>
    </row>
    <row r="35" spans="1:18" ht="14.1" customHeight="1" x14ac:dyDescent="0.25">
      <c r="A35" s="1455" t="s">
        <v>11</v>
      </c>
      <c r="B35" s="1456"/>
      <c r="C35" s="1457"/>
      <c r="D35" s="1457"/>
      <c r="E35" s="1456"/>
      <c r="F35" s="1456"/>
      <c r="G35" s="1456"/>
      <c r="H35" s="1456"/>
      <c r="I35" s="1456"/>
      <c r="J35" s="1456"/>
      <c r="K35" s="1456"/>
      <c r="L35" s="1456"/>
      <c r="M35" s="1456"/>
      <c r="N35" s="1456"/>
      <c r="O35" s="1456"/>
      <c r="P35" s="1458"/>
    </row>
    <row r="36" spans="1:18" ht="14.1" customHeight="1" x14ac:dyDescent="0.25">
      <c r="A36" s="1459" t="s">
        <v>8</v>
      </c>
      <c r="B36" s="1460"/>
      <c r="C36" s="1460"/>
      <c r="D36" s="1460"/>
      <c r="E36" s="1460"/>
      <c r="F36" s="1460"/>
      <c r="G36" s="1460"/>
      <c r="H36" s="1460"/>
      <c r="I36" s="1460"/>
      <c r="J36" s="1460"/>
      <c r="K36" s="1460"/>
      <c r="L36" s="1460"/>
      <c r="M36" s="1460"/>
      <c r="N36" s="1460"/>
      <c r="O36" s="1460"/>
      <c r="P36" s="1461"/>
    </row>
    <row r="37" spans="1:18" ht="14.1" customHeight="1" x14ac:dyDescent="0.25">
      <c r="A37" s="961">
        <v>7006</v>
      </c>
      <c r="B37" s="1462" t="s">
        <v>1242</v>
      </c>
      <c r="C37" s="1462" t="s">
        <v>1241</v>
      </c>
      <c r="D37" s="952" t="s">
        <v>1243</v>
      </c>
      <c r="E37" s="953"/>
      <c r="F37" s="995">
        <v>45.32</v>
      </c>
      <c r="G37" s="994">
        <v>3076.92</v>
      </c>
      <c r="H37" s="996"/>
      <c r="I37" s="997"/>
      <c r="J37" s="998">
        <f>G37/F37</f>
        <v>67.893203883495147</v>
      </c>
      <c r="K37" s="956">
        <v>0.96</v>
      </c>
      <c r="L37" s="957" t="s">
        <v>149</v>
      </c>
      <c r="M37" s="958" t="s">
        <v>150</v>
      </c>
      <c r="N37" s="958"/>
      <c r="O37" s="1019">
        <f>ROUND(((F37*K37)/(3600)),5)</f>
        <v>1.209E-2</v>
      </c>
      <c r="P37" s="959">
        <f>ROUND((G37*K37/1000000),5)</f>
        <v>2.9499999999999999E-3</v>
      </c>
    </row>
    <row r="38" spans="1:18" ht="14.1" customHeight="1" x14ac:dyDescent="0.25">
      <c r="A38" s="990" t="s">
        <v>1240</v>
      </c>
      <c r="B38" s="1463"/>
      <c r="C38" s="1463"/>
      <c r="D38" s="960"/>
      <c r="E38" s="961"/>
      <c r="F38" s="999"/>
      <c r="G38" s="1000"/>
      <c r="H38" s="1001"/>
      <c r="I38" s="1002"/>
      <c r="J38" s="1002"/>
      <c r="K38" s="956">
        <v>0.01</v>
      </c>
      <c r="L38" s="957" t="s">
        <v>145</v>
      </c>
      <c r="M38" s="958" t="s">
        <v>146</v>
      </c>
      <c r="N38" s="958"/>
      <c r="O38" s="1019">
        <f>ROUND(((F37*K38)/(3600)),5)</f>
        <v>1.2999999999999999E-4</v>
      </c>
      <c r="P38" s="959">
        <f>ROUND((G37*K38/1000000),5)</f>
        <v>3.0000000000000001E-5</v>
      </c>
    </row>
    <row r="39" spans="1:18" ht="14.1" customHeight="1" x14ac:dyDescent="0.25">
      <c r="A39" s="968"/>
      <c r="B39" s="1463"/>
      <c r="C39" s="1463"/>
      <c r="D39" s="960"/>
      <c r="E39" s="961"/>
      <c r="F39" s="962"/>
      <c r="G39" s="963"/>
      <c r="H39" s="960"/>
      <c r="I39" s="961"/>
      <c r="J39" s="961"/>
      <c r="K39" s="956">
        <v>0.16</v>
      </c>
      <c r="L39" s="964" t="s">
        <v>1244</v>
      </c>
      <c r="M39" s="958" t="s">
        <v>1245</v>
      </c>
      <c r="N39" s="958"/>
      <c r="O39" s="1019">
        <f>ROUND(((F37*K39)/(3600)),5)</f>
        <v>2.0100000000000001E-3</v>
      </c>
      <c r="P39" s="959">
        <f>ROUND((G37*K39/1000000),5)</f>
        <v>4.8999999999999998E-4</v>
      </c>
    </row>
    <row r="40" spans="1:18" ht="14.1" customHeight="1" x14ac:dyDescent="0.25">
      <c r="A40" s="968"/>
      <c r="B40" s="1463"/>
      <c r="C40" s="1463"/>
      <c r="D40" s="960"/>
      <c r="E40" s="961"/>
      <c r="F40" s="965"/>
      <c r="G40" s="966"/>
      <c r="H40" s="967"/>
      <c r="I40" s="968"/>
      <c r="J40" s="968"/>
      <c r="K40" s="956">
        <v>0.17</v>
      </c>
      <c r="L40" s="957" t="s">
        <v>1246</v>
      </c>
      <c r="M40" s="958" t="s">
        <v>1247</v>
      </c>
      <c r="N40" s="958"/>
      <c r="O40" s="1019">
        <f>ROUND(((F37*K40)/(3600)),5)</f>
        <v>2.14E-3</v>
      </c>
      <c r="P40" s="959">
        <f>ROUND((G37*K40/1000000),5)</f>
        <v>5.1999999999999995E-4</v>
      </c>
    </row>
    <row r="41" spans="1:18" ht="14.1" customHeight="1" x14ac:dyDescent="0.25">
      <c r="A41" s="968"/>
      <c r="B41" s="1463"/>
      <c r="C41" s="1463"/>
      <c r="D41" s="969"/>
      <c r="E41" s="970"/>
      <c r="F41" s="965"/>
      <c r="G41" s="966"/>
      <c r="H41" s="967"/>
      <c r="I41" s="968"/>
      <c r="J41" s="968"/>
      <c r="K41" s="956">
        <v>0.12</v>
      </c>
      <c r="L41" s="957" t="s">
        <v>1248</v>
      </c>
      <c r="M41" s="958" t="s">
        <v>1249</v>
      </c>
      <c r="N41" s="958"/>
      <c r="O41" s="1020">
        <f>ROUND(((F37*K41)/(3600)),5)</f>
        <v>1.5100000000000001E-3</v>
      </c>
      <c r="P41" s="971">
        <f>ROUND((G37*K41/1000000),5)</f>
        <v>3.6999999999999999E-4</v>
      </c>
    </row>
    <row r="42" spans="1:18" ht="14.1" customHeight="1" x14ac:dyDescent="0.25">
      <c r="A42" s="968"/>
      <c r="B42" s="1463"/>
      <c r="C42" s="1463"/>
      <c r="D42" s="967"/>
      <c r="E42" s="968"/>
      <c r="F42" s="965"/>
      <c r="G42" s="966"/>
      <c r="H42" s="967"/>
      <c r="I42" s="968"/>
      <c r="J42" s="968"/>
      <c r="K42" s="956">
        <v>0.15</v>
      </c>
      <c r="L42" s="972" t="s">
        <v>165</v>
      </c>
      <c r="M42" s="973" t="s">
        <v>144</v>
      </c>
      <c r="N42" s="973"/>
      <c r="O42" s="1019">
        <f>ROUND(((F37*K42)/(3600)),5)</f>
        <v>1.89E-3</v>
      </c>
      <c r="P42" s="959">
        <f>ROUND((G37*K42/1000000),5)</f>
        <v>4.6000000000000001E-4</v>
      </c>
    </row>
    <row r="43" spans="1:18" ht="14.1" customHeight="1" x14ac:dyDescent="0.25">
      <c r="A43" s="968"/>
      <c r="B43" s="1464"/>
      <c r="C43" s="1464"/>
      <c r="D43" s="974"/>
      <c r="E43" s="975"/>
      <c r="F43" s="976"/>
      <c r="G43" s="977"/>
      <c r="H43" s="974"/>
      <c r="I43" s="975"/>
      <c r="J43" s="975"/>
      <c r="K43" s="956">
        <v>0.18</v>
      </c>
      <c r="L43" s="957" t="s">
        <v>1239</v>
      </c>
      <c r="M43" s="958" t="s">
        <v>153</v>
      </c>
      <c r="N43" s="958"/>
      <c r="O43" s="1019">
        <f>ROUND(((F37*K43)/(3600)),5)</f>
        <v>2.2699999999999999E-3</v>
      </c>
      <c r="P43" s="959">
        <f>ROUND((G37*K43/1000000),5)</f>
        <v>5.5000000000000003E-4</v>
      </c>
    </row>
    <row r="44" spans="1:18" ht="14.1" customHeight="1" x14ac:dyDescent="0.25">
      <c r="B44" s="1450" t="s">
        <v>1242</v>
      </c>
      <c r="C44" s="1450" t="s">
        <v>1250</v>
      </c>
      <c r="D44" s="1003" t="s">
        <v>1243</v>
      </c>
      <c r="E44" s="1004"/>
      <c r="F44" s="1003">
        <v>88.99</v>
      </c>
      <c r="G44" s="1005">
        <v>3800</v>
      </c>
      <c r="H44" s="1005"/>
      <c r="I44" s="1003"/>
      <c r="J44" s="1016">
        <f>G44/F44</f>
        <v>42.701427126643445</v>
      </c>
      <c r="K44" s="1006">
        <v>7.67</v>
      </c>
      <c r="L44" s="1007" t="s">
        <v>149</v>
      </c>
      <c r="M44" s="1008" t="s">
        <v>150</v>
      </c>
      <c r="N44" s="1006"/>
      <c r="O44" s="1006">
        <f>ROUND(((F44*K44)/(3600)),5)</f>
        <v>0.18959999999999999</v>
      </c>
      <c r="P44" s="1006">
        <f>ROUND((G44*K44/1000000),5)</f>
        <v>2.9149999999999999E-2</v>
      </c>
    </row>
    <row r="45" spans="1:18" ht="14.1" customHeight="1" x14ac:dyDescent="0.25">
      <c r="B45" s="1451"/>
      <c r="C45" s="1453"/>
      <c r="D45" s="1009" t="s">
        <v>1255</v>
      </c>
      <c r="E45" s="1010"/>
      <c r="F45" s="1009"/>
      <c r="G45" s="1011"/>
      <c r="H45" s="1011"/>
      <c r="I45" s="1009"/>
      <c r="J45" s="1009"/>
      <c r="K45" s="1006">
        <v>1.9</v>
      </c>
      <c r="L45" s="1007" t="s">
        <v>145</v>
      </c>
      <c r="M45" s="1008" t="s">
        <v>146</v>
      </c>
      <c r="N45" s="1006"/>
      <c r="O45" s="1006">
        <f>ROUND(((F44*K45)/(3600)),5)</f>
        <v>4.6969999999999998E-2</v>
      </c>
      <c r="P45" s="1006">
        <f>ROUND((G44*K45/1000000),5)</f>
        <v>7.2199999999999999E-3</v>
      </c>
    </row>
    <row r="46" spans="1:18" ht="14.1" customHeight="1" x14ac:dyDescent="0.25">
      <c r="B46" s="1452"/>
      <c r="C46" s="1454"/>
      <c r="D46" s="1012"/>
      <c r="E46" s="1013"/>
      <c r="F46" s="1012"/>
      <c r="G46" s="1014"/>
      <c r="H46" s="1014"/>
      <c r="I46" s="1012"/>
      <c r="J46" s="1012"/>
      <c r="K46" s="1006">
        <v>0.43</v>
      </c>
      <c r="L46" s="1015" t="s">
        <v>1238</v>
      </c>
      <c r="M46" s="1008" t="s">
        <v>49</v>
      </c>
      <c r="N46" s="1006"/>
      <c r="O46" s="1006">
        <f>ROUND(((F44*K46)/(3600)),5)</f>
        <v>1.0630000000000001E-2</v>
      </c>
      <c r="P46" s="1006">
        <f>ROUND((G44*K46/1000000),5)</f>
        <v>1.6299999999999999E-3</v>
      </c>
    </row>
    <row r="47" spans="1:18" ht="14.1" customHeight="1" x14ac:dyDescent="0.25">
      <c r="B47" s="1444" t="s">
        <v>1242</v>
      </c>
      <c r="C47" s="1447" t="s">
        <v>1251</v>
      </c>
      <c r="D47" s="996" t="s">
        <v>1243</v>
      </c>
      <c r="E47" s="979"/>
      <c r="F47" s="995">
        <v>37.4</v>
      </c>
      <c r="G47" s="994">
        <v>1200</v>
      </c>
      <c r="H47" s="996"/>
      <c r="I47" s="997"/>
      <c r="J47" s="998">
        <f>G47/F47</f>
        <v>32.085561497326204</v>
      </c>
      <c r="K47" s="1017">
        <v>2.6</v>
      </c>
      <c r="L47" s="1018" t="s">
        <v>149</v>
      </c>
      <c r="M47" s="993" t="s">
        <v>150</v>
      </c>
      <c r="N47" s="993"/>
      <c r="O47" s="1019">
        <f>ROUND(((F47*K47)/(3600)),5)</f>
        <v>2.7009999999999999E-2</v>
      </c>
      <c r="P47" s="1019">
        <f>ROUND((G47*K47/1000000),5)</f>
        <v>3.1199999999999999E-3</v>
      </c>
    </row>
    <row r="48" spans="1:18" ht="14.1" customHeight="1" x14ac:dyDescent="0.25">
      <c r="B48" s="1445"/>
      <c r="C48" s="1448"/>
      <c r="D48" s="1001" t="s">
        <v>1252</v>
      </c>
      <c r="E48" s="981"/>
      <c r="F48" s="982"/>
      <c r="G48" s="1021"/>
      <c r="H48" s="980"/>
      <c r="I48" s="981"/>
      <c r="J48" s="981"/>
      <c r="K48" s="1017">
        <v>0.2</v>
      </c>
      <c r="L48" s="1018" t="s">
        <v>145</v>
      </c>
      <c r="M48" s="993" t="s">
        <v>146</v>
      </c>
      <c r="N48" s="993"/>
      <c r="O48" s="1019">
        <f>ROUND(((F47*K48)/(3600)),5)</f>
        <v>2.0799999999999998E-3</v>
      </c>
      <c r="P48" s="1019">
        <f>ROUND((G47*K48/1000000),5)</f>
        <v>2.4000000000000001E-4</v>
      </c>
    </row>
    <row r="49" spans="1:18" ht="14.1" customHeight="1" x14ac:dyDescent="0.25">
      <c r="B49" s="1445"/>
      <c r="C49" s="1448"/>
      <c r="D49" s="980"/>
      <c r="E49" s="981"/>
      <c r="F49" s="982"/>
      <c r="G49" s="1021"/>
      <c r="H49" s="980"/>
      <c r="I49" s="981"/>
      <c r="J49" s="981"/>
      <c r="K49" s="1017">
        <v>1.5</v>
      </c>
      <c r="L49" s="1015" t="s">
        <v>1238</v>
      </c>
      <c r="M49" s="1008" t="s">
        <v>49</v>
      </c>
      <c r="N49" s="993"/>
      <c r="O49" s="1019">
        <f>ROUND(((F47*K49)/(3600)),5)</f>
        <v>1.558E-2</v>
      </c>
      <c r="P49" s="1019">
        <f>ROUND((G47*K49/1000000),5)</f>
        <v>1.8E-3</v>
      </c>
    </row>
    <row r="50" spans="1:18" ht="14.1" customHeight="1" x14ac:dyDescent="0.25">
      <c r="B50" s="1445"/>
      <c r="C50" s="1448"/>
      <c r="D50" s="980"/>
      <c r="E50" s="981"/>
      <c r="F50" s="983"/>
      <c r="G50" s="1022"/>
      <c r="H50" s="984"/>
      <c r="I50" s="951"/>
      <c r="J50" s="951"/>
      <c r="K50" s="1017">
        <v>9</v>
      </c>
      <c r="L50" s="1018" t="s">
        <v>1248</v>
      </c>
      <c r="M50" s="993" t="s">
        <v>1249</v>
      </c>
      <c r="N50" s="993"/>
      <c r="O50" s="1019">
        <f>ROUND(((F47*K50)/(3600)),5)</f>
        <v>9.35E-2</v>
      </c>
      <c r="P50" s="1019">
        <f>ROUND((G47*K50/1000000),5)</f>
        <v>1.0800000000000001E-2</v>
      </c>
    </row>
    <row r="51" spans="1:18" ht="14.1" customHeight="1" x14ac:dyDescent="0.25">
      <c r="B51" s="1446"/>
      <c r="C51" s="1449"/>
      <c r="D51" s="1023"/>
      <c r="E51" s="1024"/>
      <c r="F51" s="988"/>
      <c r="G51" s="989"/>
      <c r="H51" s="986"/>
      <c r="I51" s="987"/>
      <c r="J51" s="987"/>
      <c r="K51" s="1017">
        <v>0.7</v>
      </c>
      <c r="L51" s="992" t="s">
        <v>1244</v>
      </c>
      <c r="M51" s="993" t="s">
        <v>1245</v>
      </c>
      <c r="N51" s="993"/>
      <c r="O51" s="1020">
        <f>ROUND(((F47*K51)/(3600)),5)</f>
        <v>7.2700000000000004E-3</v>
      </c>
      <c r="P51" s="1020">
        <f>ROUND((G47*K51/1000000),5)</f>
        <v>8.4000000000000003E-4</v>
      </c>
    </row>
    <row r="52" spans="1:18" ht="14.1" customHeight="1" x14ac:dyDescent="0.25">
      <c r="B52" s="1444" t="s">
        <v>1242</v>
      </c>
      <c r="C52" s="1444" t="s">
        <v>1254</v>
      </c>
      <c r="D52" s="996" t="s">
        <v>1253</v>
      </c>
      <c r="E52" s="996">
        <v>5</v>
      </c>
      <c r="F52" s="978"/>
      <c r="G52" s="978"/>
      <c r="H52" s="996">
        <v>60.78</v>
      </c>
      <c r="I52" s="997">
        <v>182.34</v>
      </c>
      <c r="J52" s="997">
        <f>ROUND((I52/H52),1)</f>
        <v>3</v>
      </c>
      <c r="K52" s="1017">
        <v>0.04</v>
      </c>
      <c r="L52" s="1018" t="s">
        <v>145</v>
      </c>
      <c r="M52" s="993" t="s">
        <v>146</v>
      </c>
      <c r="N52" s="1019"/>
      <c r="O52" s="1019">
        <f>ROUND((H52*K52/3600),5)</f>
        <v>6.8000000000000005E-4</v>
      </c>
      <c r="P52" s="1019">
        <f>ROUND((I52*K52/1000000),5)</f>
        <v>1.0000000000000001E-5</v>
      </c>
    </row>
    <row r="53" spans="1:18" ht="14.1" customHeight="1" x14ac:dyDescent="0.25">
      <c r="B53" s="1445"/>
      <c r="C53" s="1445"/>
      <c r="D53" s="1025"/>
      <c r="E53" s="985"/>
      <c r="F53" s="980"/>
      <c r="G53" s="980"/>
      <c r="H53" s="1001"/>
      <c r="I53" s="1002"/>
      <c r="J53" s="1026"/>
      <c r="K53" s="1017">
        <v>2.21</v>
      </c>
      <c r="L53" s="1018" t="s">
        <v>149</v>
      </c>
      <c r="M53" s="993" t="s">
        <v>150</v>
      </c>
      <c r="N53" s="1019"/>
      <c r="O53" s="1019">
        <f>ROUND((H52*K53/3600),5)</f>
        <v>3.7310000000000003E-2</v>
      </c>
      <c r="P53" s="1019">
        <f>ROUND((I52*K53/1000000),5)</f>
        <v>4.0000000000000002E-4</v>
      </c>
    </row>
    <row r="54" spans="1:18" ht="14.1" customHeight="1" x14ac:dyDescent="0.25">
      <c r="B54" s="1445"/>
      <c r="C54" s="1445"/>
      <c r="D54" s="1025"/>
      <c r="E54" s="985"/>
      <c r="F54" s="980"/>
      <c r="G54" s="980"/>
      <c r="H54" s="1001"/>
      <c r="I54" s="1002"/>
      <c r="J54" s="1026"/>
      <c r="K54" s="1017">
        <v>1.18</v>
      </c>
      <c r="L54" s="1018" t="s">
        <v>165</v>
      </c>
      <c r="M54" s="993" t="s">
        <v>144</v>
      </c>
      <c r="N54" s="1032"/>
      <c r="O54" s="1019">
        <f>ROUND((H52*K54/3600),5)</f>
        <v>1.992E-2</v>
      </c>
      <c r="P54" s="1019">
        <f>ROUND((I52*K54/1000000),5)</f>
        <v>2.2000000000000001E-4</v>
      </c>
    </row>
    <row r="55" spans="1:18" ht="14.1" customHeight="1" x14ac:dyDescent="0.25">
      <c r="B55" s="1446"/>
      <c r="C55" s="1446"/>
      <c r="D55" s="1027"/>
      <c r="E55" s="1023"/>
      <c r="F55" s="1031"/>
      <c r="G55" s="1031"/>
      <c r="H55" s="1028"/>
      <c r="I55" s="1029"/>
      <c r="J55" s="1030"/>
      <c r="K55" s="1017">
        <v>1.5</v>
      </c>
      <c r="L55" s="1018" t="s">
        <v>1239</v>
      </c>
      <c r="M55" s="993" t="s">
        <v>153</v>
      </c>
      <c r="N55" s="1032"/>
      <c r="O55" s="1019">
        <f>ROUND((H52*K55/3600),5)</f>
        <v>2.5329999999999998E-2</v>
      </c>
      <c r="P55" s="1019">
        <f>ROUND((I52*K55/1000000),5)</f>
        <v>2.7E-4</v>
      </c>
    </row>
    <row r="56" spans="1:18" ht="14.1" customHeight="1" x14ac:dyDescent="0.25">
      <c r="A56" s="1465" t="s">
        <v>1256</v>
      </c>
      <c r="B56" s="1466"/>
      <c r="C56" s="1466"/>
      <c r="D56" s="1466"/>
      <c r="E56" s="1466"/>
      <c r="F56" s="1466"/>
      <c r="G56" s="1466"/>
      <c r="H56" s="1466"/>
      <c r="I56" s="1466"/>
      <c r="J56" s="1466"/>
      <c r="K56" s="1467"/>
      <c r="L56" s="1040" t="s">
        <v>149</v>
      </c>
      <c r="M56" s="1041" t="s">
        <v>150</v>
      </c>
      <c r="N56" s="1041"/>
      <c r="O56" s="1044">
        <f>O37+O44+O47+O53</f>
        <v>0.26600999999999997</v>
      </c>
      <c r="P56" s="1044">
        <f>P37+P44+P47+P53</f>
        <v>3.5619999999999992E-2</v>
      </c>
    </row>
    <row r="57" spans="1:18" ht="14.1" customHeight="1" x14ac:dyDescent="0.25">
      <c r="A57" s="1468"/>
      <c r="B57" s="1469"/>
      <c r="C57" s="1469"/>
      <c r="D57" s="1469"/>
      <c r="E57" s="1469"/>
      <c r="F57" s="1469"/>
      <c r="G57" s="1469"/>
      <c r="H57" s="1469"/>
      <c r="I57" s="1469"/>
      <c r="J57" s="1469"/>
      <c r="K57" s="1470"/>
      <c r="L57" s="1040" t="s">
        <v>145</v>
      </c>
      <c r="M57" s="1041" t="s">
        <v>146</v>
      </c>
      <c r="N57" s="1045"/>
      <c r="O57" s="1044">
        <f>O38+O45+O48+O52</f>
        <v>4.9859999999999995E-2</v>
      </c>
      <c r="P57" s="1044">
        <f>P38+P45+P48+P52</f>
        <v>7.4999999999999989E-3</v>
      </c>
    </row>
    <row r="58" spans="1:18" ht="14.1" customHeight="1" x14ac:dyDescent="0.25">
      <c r="A58" s="1468"/>
      <c r="B58" s="1469"/>
      <c r="C58" s="1469"/>
      <c r="D58" s="1469"/>
      <c r="E58" s="1469"/>
      <c r="F58" s="1469"/>
      <c r="G58" s="1469"/>
      <c r="H58" s="1469"/>
      <c r="I58" s="1469"/>
      <c r="J58" s="1469"/>
      <c r="K58" s="1470"/>
      <c r="L58" s="1046" t="s">
        <v>1244</v>
      </c>
      <c r="M58" s="1041" t="s">
        <v>1245</v>
      </c>
      <c r="N58" s="1042"/>
      <c r="O58" s="1047">
        <f>O39+O51</f>
        <v>9.2800000000000001E-3</v>
      </c>
      <c r="P58" s="1047">
        <f>P39+P51</f>
        <v>1.33E-3</v>
      </c>
    </row>
    <row r="59" spans="1:18" ht="14.1" customHeight="1" x14ac:dyDescent="0.25">
      <c r="A59" s="1468"/>
      <c r="B59" s="1469"/>
      <c r="C59" s="1469"/>
      <c r="D59" s="1469"/>
      <c r="E59" s="1469"/>
      <c r="F59" s="1469"/>
      <c r="G59" s="1469"/>
      <c r="H59" s="1469"/>
      <c r="I59" s="1469"/>
      <c r="J59" s="1469"/>
      <c r="K59" s="1470"/>
      <c r="L59" s="1040" t="s">
        <v>1246</v>
      </c>
      <c r="M59" s="1041" t="s">
        <v>1247</v>
      </c>
      <c r="N59" s="1042"/>
      <c r="O59" s="1044">
        <f>O40</f>
        <v>2.14E-3</v>
      </c>
      <c r="P59" s="1044">
        <f>P40</f>
        <v>5.1999999999999995E-4</v>
      </c>
    </row>
    <row r="60" spans="1:18" ht="14.1" customHeight="1" x14ac:dyDescent="0.25">
      <c r="A60" s="1468"/>
      <c r="B60" s="1469"/>
      <c r="C60" s="1469"/>
      <c r="D60" s="1469"/>
      <c r="E60" s="1469"/>
      <c r="F60" s="1469"/>
      <c r="G60" s="1469"/>
      <c r="H60" s="1469"/>
      <c r="I60" s="1469"/>
      <c r="J60" s="1469"/>
      <c r="K60" s="1470"/>
      <c r="L60" s="1040" t="s">
        <v>1248</v>
      </c>
      <c r="M60" s="1041" t="s">
        <v>1249</v>
      </c>
      <c r="N60" s="1042"/>
      <c r="O60" s="1047">
        <f>O41+O50</f>
        <v>9.5009999999999997E-2</v>
      </c>
      <c r="P60" s="1047">
        <f>P41+P50</f>
        <v>1.1170000000000001E-2</v>
      </c>
    </row>
    <row r="61" spans="1:18" ht="14.1" customHeight="1" x14ac:dyDescent="0.25">
      <c r="A61" s="1468"/>
      <c r="B61" s="1469"/>
      <c r="C61" s="1469"/>
      <c r="D61" s="1469"/>
      <c r="E61" s="1469"/>
      <c r="F61" s="1469"/>
      <c r="G61" s="1469"/>
      <c r="H61" s="1469"/>
      <c r="I61" s="1469"/>
      <c r="J61" s="1469"/>
      <c r="K61" s="1470"/>
      <c r="L61" s="1050" t="s">
        <v>1238</v>
      </c>
      <c r="M61" s="1051" t="s">
        <v>49</v>
      </c>
      <c r="N61" s="1043"/>
      <c r="O61" s="1047">
        <f>O46+O49</f>
        <v>2.6210000000000001E-2</v>
      </c>
      <c r="P61" s="1047">
        <f>P46+P49</f>
        <v>3.4299999999999999E-3</v>
      </c>
    </row>
    <row r="62" spans="1:18" ht="14.1" customHeight="1" x14ac:dyDescent="0.25">
      <c r="A62" s="1468"/>
      <c r="B62" s="1469"/>
      <c r="C62" s="1469"/>
      <c r="D62" s="1469"/>
      <c r="E62" s="1469"/>
      <c r="F62" s="1469"/>
      <c r="G62" s="1469"/>
      <c r="H62" s="1469"/>
      <c r="I62" s="1469"/>
      <c r="J62" s="1469"/>
      <c r="K62" s="1470"/>
      <c r="L62" s="1048" t="s">
        <v>165</v>
      </c>
      <c r="M62" s="1049" t="s">
        <v>144</v>
      </c>
      <c r="N62" s="1049"/>
      <c r="O62" s="1044">
        <f>O42+O54</f>
        <v>2.181E-2</v>
      </c>
      <c r="P62" s="1044">
        <f>P42+P54</f>
        <v>6.8000000000000005E-4</v>
      </c>
    </row>
    <row r="63" spans="1:18" ht="14.1" customHeight="1" x14ac:dyDescent="0.25">
      <c r="A63" s="1471"/>
      <c r="B63" s="1472"/>
      <c r="C63" s="1472"/>
      <c r="D63" s="1472"/>
      <c r="E63" s="1472"/>
      <c r="F63" s="1472"/>
      <c r="G63" s="1472"/>
      <c r="H63" s="1472"/>
      <c r="I63" s="1472"/>
      <c r="J63" s="1472"/>
      <c r="K63" s="1473"/>
      <c r="L63" s="1040" t="s">
        <v>1239</v>
      </c>
      <c r="M63" s="1041" t="s">
        <v>153</v>
      </c>
      <c r="N63" s="1041"/>
      <c r="O63" s="1044">
        <f>O43+O55</f>
        <v>2.76E-2</v>
      </c>
      <c r="P63" s="1044">
        <f>P43+P55</f>
        <v>8.1999999999999998E-4</v>
      </c>
      <c r="Q63" s="2">
        <f>SUM(O56:O63)</f>
        <v>0.49791999999999997</v>
      </c>
      <c r="R63" s="2">
        <f>SUM(P56:P63)</f>
        <v>6.1069999999999992E-2</v>
      </c>
    </row>
    <row r="64" spans="1:18" ht="14.1" customHeight="1" x14ac:dyDescent="0.25">
      <c r="A64" s="1455" t="s">
        <v>60</v>
      </c>
      <c r="B64" s="1456"/>
      <c r="C64" s="1457"/>
      <c r="D64" s="1457"/>
      <c r="E64" s="1456"/>
      <c r="F64" s="1456"/>
      <c r="G64" s="1456"/>
      <c r="H64" s="1456"/>
      <c r="I64" s="1456"/>
      <c r="J64" s="1456"/>
      <c r="K64" s="1456"/>
      <c r="L64" s="1456"/>
      <c r="M64" s="1456"/>
      <c r="N64" s="1456"/>
      <c r="O64" s="1456"/>
      <c r="P64" s="1458"/>
    </row>
    <row r="65" spans="1:16" ht="14.1" customHeight="1" x14ac:dyDescent="0.25">
      <c r="A65" s="1459" t="s">
        <v>8</v>
      </c>
      <c r="B65" s="1460"/>
      <c r="C65" s="1460"/>
      <c r="D65" s="1460"/>
      <c r="E65" s="1460"/>
      <c r="F65" s="1460"/>
      <c r="G65" s="1460"/>
      <c r="H65" s="1460"/>
      <c r="I65" s="1460"/>
      <c r="J65" s="1460"/>
      <c r="K65" s="1460"/>
      <c r="L65" s="1460"/>
      <c r="M65" s="1460"/>
      <c r="N65" s="1460"/>
      <c r="O65" s="1460"/>
      <c r="P65" s="1461"/>
    </row>
    <row r="66" spans="1:16" ht="14.1" customHeight="1" x14ac:dyDescent="0.25">
      <c r="A66" s="961">
        <v>7006</v>
      </c>
      <c r="B66" s="1462" t="s">
        <v>1242</v>
      </c>
      <c r="C66" s="1462" t="s">
        <v>1241</v>
      </c>
      <c r="D66" s="952" t="s">
        <v>1243</v>
      </c>
      <c r="E66" s="953"/>
      <c r="F66" s="995">
        <v>45.32</v>
      </c>
      <c r="G66" s="994">
        <v>3076.92</v>
      </c>
      <c r="H66" s="996"/>
      <c r="I66" s="997"/>
      <c r="J66" s="998">
        <f>G66/F66</f>
        <v>67.893203883495147</v>
      </c>
      <c r="K66" s="956">
        <v>0.96</v>
      </c>
      <c r="L66" s="957" t="s">
        <v>149</v>
      </c>
      <c r="M66" s="958" t="s">
        <v>150</v>
      </c>
      <c r="N66" s="958"/>
      <c r="O66" s="1019">
        <f>ROUND(((F66*K66)/(3600)),5)</f>
        <v>1.209E-2</v>
      </c>
      <c r="P66" s="959">
        <f>ROUND((G66*K66/1000000),5)</f>
        <v>2.9499999999999999E-3</v>
      </c>
    </row>
    <row r="67" spans="1:16" ht="14.1" customHeight="1" x14ac:dyDescent="0.25">
      <c r="A67" s="990" t="s">
        <v>1240</v>
      </c>
      <c r="B67" s="1463"/>
      <c r="C67" s="1463"/>
      <c r="D67" s="960"/>
      <c r="E67" s="961"/>
      <c r="F67" s="999"/>
      <c r="G67" s="1000"/>
      <c r="H67" s="1001"/>
      <c r="I67" s="1002"/>
      <c r="J67" s="1002"/>
      <c r="K67" s="956">
        <v>0.01</v>
      </c>
      <c r="L67" s="957" t="s">
        <v>145</v>
      </c>
      <c r="M67" s="958" t="s">
        <v>146</v>
      </c>
      <c r="N67" s="958"/>
      <c r="O67" s="1019">
        <f>ROUND(((F66*K67)/(3600)),5)</f>
        <v>1.2999999999999999E-4</v>
      </c>
      <c r="P67" s="959">
        <f>ROUND((G66*K67/1000000),5)</f>
        <v>3.0000000000000001E-5</v>
      </c>
    </row>
    <row r="68" spans="1:16" ht="14.1" customHeight="1" x14ac:dyDescent="0.25">
      <c r="A68" s="968"/>
      <c r="B68" s="1463"/>
      <c r="C68" s="1463"/>
      <c r="D68" s="960"/>
      <c r="E68" s="961"/>
      <c r="F68" s="962"/>
      <c r="G68" s="963"/>
      <c r="H68" s="960"/>
      <c r="I68" s="961"/>
      <c r="J68" s="961"/>
      <c r="K68" s="956">
        <v>0.16</v>
      </c>
      <c r="L68" s="964" t="s">
        <v>1244</v>
      </c>
      <c r="M68" s="958" t="s">
        <v>1245</v>
      </c>
      <c r="N68" s="958"/>
      <c r="O68" s="1019">
        <f>ROUND(((F66*K68)/(3600)),5)</f>
        <v>2.0100000000000001E-3</v>
      </c>
      <c r="P68" s="959">
        <f>ROUND((G66*K68/1000000),5)</f>
        <v>4.8999999999999998E-4</v>
      </c>
    </row>
    <row r="69" spans="1:16" ht="14.1" customHeight="1" x14ac:dyDescent="0.25">
      <c r="A69" s="968"/>
      <c r="B69" s="1463"/>
      <c r="C69" s="1463"/>
      <c r="D69" s="960"/>
      <c r="E69" s="961"/>
      <c r="F69" s="965"/>
      <c r="G69" s="966"/>
      <c r="H69" s="967"/>
      <c r="I69" s="968"/>
      <c r="J69" s="968"/>
      <c r="K69" s="956">
        <v>0.17</v>
      </c>
      <c r="L69" s="957" t="s">
        <v>1246</v>
      </c>
      <c r="M69" s="958" t="s">
        <v>1247</v>
      </c>
      <c r="N69" s="958"/>
      <c r="O69" s="1019">
        <f>ROUND(((F66*K69)/(3600)),5)</f>
        <v>2.14E-3</v>
      </c>
      <c r="P69" s="959">
        <f>ROUND((G66*K69/1000000),5)</f>
        <v>5.1999999999999995E-4</v>
      </c>
    </row>
    <row r="70" spans="1:16" ht="14.1" customHeight="1" x14ac:dyDescent="0.25">
      <c r="A70" s="968"/>
      <c r="B70" s="1463"/>
      <c r="C70" s="1463"/>
      <c r="D70" s="969"/>
      <c r="E70" s="970"/>
      <c r="F70" s="965"/>
      <c r="G70" s="966"/>
      <c r="H70" s="967"/>
      <c r="I70" s="968"/>
      <c r="J70" s="968"/>
      <c r="K70" s="956">
        <v>0.12</v>
      </c>
      <c r="L70" s="957" t="s">
        <v>1248</v>
      </c>
      <c r="M70" s="958" t="s">
        <v>1249</v>
      </c>
      <c r="N70" s="958"/>
      <c r="O70" s="1020">
        <f>ROUND(((F66*K70)/(3600)),5)</f>
        <v>1.5100000000000001E-3</v>
      </c>
      <c r="P70" s="971">
        <f>ROUND((G66*K70/1000000),5)</f>
        <v>3.6999999999999999E-4</v>
      </c>
    </row>
    <row r="71" spans="1:16" ht="14.1" customHeight="1" x14ac:dyDescent="0.25">
      <c r="A71" s="968"/>
      <c r="B71" s="1463"/>
      <c r="C71" s="1463"/>
      <c r="D71" s="967"/>
      <c r="E71" s="968"/>
      <c r="F71" s="965"/>
      <c r="G71" s="966"/>
      <c r="H71" s="967"/>
      <c r="I71" s="968"/>
      <c r="J71" s="968"/>
      <c r="K71" s="956">
        <v>0.15</v>
      </c>
      <c r="L71" s="972" t="s">
        <v>165</v>
      </c>
      <c r="M71" s="973" t="s">
        <v>144</v>
      </c>
      <c r="N71" s="973"/>
      <c r="O71" s="1019">
        <f>ROUND(((F66*K71)/(3600)),5)</f>
        <v>1.89E-3</v>
      </c>
      <c r="P71" s="959">
        <f>ROUND((G66*K71/1000000),5)</f>
        <v>4.6000000000000001E-4</v>
      </c>
    </row>
    <row r="72" spans="1:16" ht="14.1" customHeight="1" x14ac:dyDescent="0.25">
      <c r="A72" s="968"/>
      <c r="B72" s="1464"/>
      <c r="C72" s="1464"/>
      <c r="D72" s="974"/>
      <c r="E72" s="975"/>
      <c r="F72" s="976"/>
      <c r="G72" s="977"/>
      <c r="H72" s="974"/>
      <c r="I72" s="975"/>
      <c r="J72" s="975"/>
      <c r="K72" s="956">
        <v>0.18</v>
      </c>
      <c r="L72" s="957" t="s">
        <v>1239</v>
      </c>
      <c r="M72" s="958" t="s">
        <v>153</v>
      </c>
      <c r="N72" s="958"/>
      <c r="O72" s="1019">
        <f>ROUND(((F66*K72)/(3600)),5)</f>
        <v>2.2699999999999999E-3</v>
      </c>
      <c r="P72" s="959">
        <f>ROUND((G66*K72/1000000),5)</f>
        <v>5.5000000000000003E-4</v>
      </c>
    </row>
    <row r="73" spans="1:16" ht="14.1" customHeight="1" x14ac:dyDescent="0.25">
      <c r="B73" s="1450" t="s">
        <v>1242</v>
      </c>
      <c r="C73" s="1450" t="s">
        <v>1250</v>
      </c>
      <c r="D73" s="1003" t="s">
        <v>1243</v>
      </c>
      <c r="E73" s="1004"/>
      <c r="F73" s="1003">
        <v>88.99</v>
      </c>
      <c r="G73" s="1005">
        <v>3800</v>
      </c>
      <c r="H73" s="1005"/>
      <c r="I73" s="1003"/>
      <c r="J73" s="1016">
        <f>G73/F73</f>
        <v>42.701427126643445</v>
      </c>
      <c r="K73" s="1006">
        <v>7.67</v>
      </c>
      <c r="L73" s="1007" t="s">
        <v>149</v>
      </c>
      <c r="M73" s="1008" t="s">
        <v>150</v>
      </c>
      <c r="N73" s="1006"/>
      <c r="O73" s="1006">
        <f>ROUND(((F73*K73)/(3600)),5)</f>
        <v>0.18959999999999999</v>
      </c>
      <c r="P73" s="1006">
        <f>ROUND((G73*K73/1000000),5)</f>
        <v>2.9149999999999999E-2</v>
      </c>
    </row>
    <row r="74" spans="1:16" ht="14.1" customHeight="1" x14ac:dyDescent="0.25">
      <c r="B74" s="1451"/>
      <c r="C74" s="1453"/>
      <c r="D74" s="1009" t="s">
        <v>1255</v>
      </c>
      <c r="E74" s="1010"/>
      <c r="F74" s="1009"/>
      <c r="G74" s="1011"/>
      <c r="H74" s="1011"/>
      <c r="I74" s="1009"/>
      <c r="J74" s="1009"/>
      <c r="K74" s="1006">
        <v>1.9</v>
      </c>
      <c r="L74" s="1007" t="s">
        <v>145</v>
      </c>
      <c r="M74" s="1008" t="s">
        <v>146</v>
      </c>
      <c r="N74" s="1006"/>
      <c r="O74" s="1006">
        <f>ROUND(((F73*K74)/(3600)),5)</f>
        <v>4.6969999999999998E-2</v>
      </c>
      <c r="P74" s="1006">
        <f>ROUND((G73*K74/1000000),5)</f>
        <v>7.2199999999999999E-3</v>
      </c>
    </row>
    <row r="75" spans="1:16" ht="14.1" customHeight="1" x14ac:dyDescent="0.25">
      <c r="B75" s="1452"/>
      <c r="C75" s="1454"/>
      <c r="D75" s="1012"/>
      <c r="E75" s="1013"/>
      <c r="F75" s="1012"/>
      <c r="G75" s="1014"/>
      <c r="H75" s="1014"/>
      <c r="I75" s="1012"/>
      <c r="J75" s="1012"/>
      <c r="K75" s="1006">
        <v>0.43</v>
      </c>
      <c r="L75" s="1015" t="s">
        <v>1238</v>
      </c>
      <c r="M75" s="1008" t="s">
        <v>49</v>
      </c>
      <c r="N75" s="1006"/>
      <c r="O75" s="1006">
        <f>ROUND(((F73*K75)/(3600)),5)</f>
        <v>1.0630000000000001E-2</v>
      </c>
      <c r="P75" s="1006">
        <f>ROUND((G73*K75/1000000),5)</f>
        <v>1.6299999999999999E-3</v>
      </c>
    </row>
    <row r="76" spans="1:16" ht="14.1" customHeight="1" x14ac:dyDescent="0.25">
      <c r="B76" s="1444" t="s">
        <v>1242</v>
      </c>
      <c r="C76" s="1447" t="s">
        <v>1251</v>
      </c>
      <c r="D76" s="996" t="s">
        <v>1243</v>
      </c>
      <c r="E76" s="997"/>
      <c r="F76" s="995">
        <v>37.4</v>
      </c>
      <c r="G76" s="994">
        <v>1200</v>
      </c>
      <c r="H76" s="996"/>
      <c r="I76" s="997"/>
      <c r="J76" s="998">
        <f>G76/F76</f>
        <v>32.085561497326204</v>
      </c>
      <c r="K76" s="1017">
        <v>2.6</v>
      </c>
      <c r="L76" s="1018" t="s">
        <v>149</v>
      </c>
      <c r="M76" s="993" t="s">
        <v>150</v>
      </c>
      <c r="N76" s="993"/>
      <c r="O76" s="1019">
        <f>ROUND(((F76*K76)/(3600)),5)</f>
        <v>2.7009999999999999E-2</v>
      </c>
      <c r="P76" s="1019">
        <f>ROUND((G76*K76/1000000),5)</f>
        <v>3.1199999999999999E-3</v>
      </c>
    </row>
    <row r="77" spans="1:16" ht="14.1" customHeight="1" x14ac:dyDescent="0.25">
      <c r="B77" s="1445"/>
      <c r="C77" s="1448"/>
      <c r="D77" s="1001" t="s">
        <v>1252</v>
      </c>
      <c r="E77" s="1002"/>
      <c r="F77" s="999"/>
      <c r="G77" s="1000"/>
      <c r="H77" s="1001"/>
      <c r="I77" s="1002"/>
      <c r="J77" s="1002"/>
      <c r="K77" s="1017">
        <v>0.2</v>
      </c>
      <c r="L77" s="1018" t="s">
        <v>145</v>
      </c>
      <c r="M77" s="993" t="s">
        <v>146</v>
      </c>
      <c r="N77" s="993"/>
      <c r="O77" s="1019">
        <f>ROUND(((F76*K77)/(3600)),5)</f>
        <v>2.0799999999999998E-3</v>
      </c>
      <c r="P77" s="1019">
        <f>ROUND((G76*K77/1000000),5)</f>
        <v>2.4000000000000001E-4</v>
      </c>
    </row>
    <row r="78" spans="1:16" ht="14.1" customHeight="1" x14ac:dyDescent="0.25">
      <c r="B78" s="1445"/>
      <c r="C78" s="1448"/>
      <c r="D78" s="1001"/>
      <c r="E78" s="1002"/>
      <c r="F78" s="999"/>
      <c r="G78" s="1000"/>
      <c r="H78" s="1001"/>
      <c r="I78" s="1002"/>
      <c r="J78" s="1002"/>
      <c r="K78" s="1017">
        <v>1.5</v>
      </c>
      <c r="L78" s="1015" t="s">
        <v>1238</v>
      </c>
      <c r="M78" s="1008" t="s">
        <v>49</v>
      </c>
      <c r="N78" s="993"/>
      <c r="O78" s="1019">
        <f>ROUND(((F76*K78)/(3600)),5)</f>
        <v>1.558E-2</v>
      </c>
      <c r="P78" s="1019">
        <f>ROUND((G76*K78/1000000),5)</f>
        <v>1.8E-3</v>
      </c>
    </row>
    <row r="79" spans="1:16" ht="14.1" customHeight="1" x14ac:dyDescent="0.25">
      <c r="B79" s="1445"/>
      <c r="C79" s="1448"/>
      <c r="D79" s="1001"/>
      <c r="E79" s="1002"/>
      <c r="F79" s="1033"/>
      <c r="G79" s="1034"/>
      <c r="H79" s="1035"/>
      <c r="I79" s="1026"/>
      <c r="J79" s="1026"/>
      <c r="K79" s="1017">
        <v>9</v>
      </c>
      <c r="L79" s="1018" t="s">
        <v>1248</v>
      </c>
      <c r="M79" s="993" t="s">
        <v>1249</v>
      </c>
      <c r="N79" s="993"/>
      <c r="O79" s="1019">
        <f>ROUND(((F76*K79)/(3600)),5)</f>
        <v>9.35E-2</v>
      </c>
      <c r="P79" s="1019">
        <f>ROUND((G76*K79/1000000),5)</f>
        <v>1.0800000000000001E-2</v>
      </c>
    </row>
    <row r="80" spans="1:16" ht="14.1" customHeight="1" x14ac:dyDescent="0.25">
      <c r="B80" s="1446"/>
      <c r="C80" s="1449"/>
      <c r="D80" s="1027"/>
      <c r="E80" s="1036"/>
      <c r="F80" s="1037"/>
      <c r="G80" s="1038"/>
      <c r="H80" s="1039"/>
      <c r="I80" s="1030"/>
      <c r="J80" s="1030"/>
      <c r="K80" s="1017">
        <v>0.7</v>
      </c>
      <c r="L80" s="992" t="s">
        <v>1244</v>
      </c>
      <c r="M80" s="993" t="s">
        <v>1245</v>
      </c>
      <c r="N80" s="993"/>
      <c r="O80" s="1020">
        <f>ROUND(((F76*K80)/(3600)),5)</f>
        <v>7.2700000000000004E-3</v>
      </c>
      <c r="P80" s="1020">
        <f>ROUND((G76*K80/1000000),5)</f>
        <v>8.4000000000000003E-4</v>
      </c>
    </row>
    <row r="81" spans="1:18" ht="14.1" customHeight="1" x14ac:dyDescent="0.25">
      <c r="B81" s="1444" t="s">
        <v>1242</v>
      </c>
      <c r="C81" s="1444" t="s">
        <v>1254</v>
      </c>
      <c r="D81" s="996" t="s">
        <v>1253</v>
      </c>
      <c r="E81" s="996">
        <v>5</v>
      </c>
      <c r="F81" s="978"/>
      <c r="G81" s="978"/>
      <c r="H81" s="996">
        <v>60.78</v>
      </c>
      <c r="I81" s="997">
        <v>182.34</v>
      </c>
      <c r="J81" s="997">
        <f>ROUND((I81/H81),1)</f>
        <v>3</v>
      </c>
      <c r="K81" s="1017">
        <v>0.04</v>
      </c>
      <c r="L81" s="1018" t="s">
        <v>145</v>
      </c>
      <c r="M81" s="993" t="s">
        <v>146</v>
      </c>
      <c r="N81" s="1019"/>
      <c r="O81" s="1019">
        <f>ROUND((H81*K81/3600),5)</f>
        <v>6.8000000000000005E-4</v>
      </c>
      <c r="P81" s="1019">
        <f>ROUND((I81*K81/1000000),5)</f>
        <v>1.0000000000000001E-5</v>
      </c>
    </row>
    <row r="82" spans="1:18" ht="14.1" customHeight="1" x14ac:dyDescent="0.25">
      <c r="B82" s="1445"/>
      <c r="C82" s="1445"/>
      <c r="D82" s="1025"/>
      <c r="E82" s="985"/>
      <c r="F82" s="980"/>
      <c r="G82" s="980"/>
      <c r="H82" s="1001"/>
      <c r="I82" s="1002"/>
      <c r="J82" s="1026"/>
      <c r="K82" s="1017">
        <v>2.21</v>
      </c>
      <c r="L82" s="1018" t="s">
        <v>149</v>
      </c>
      <c r="M82" s="993" t="s">
        <v>150</v>
      </c>
      <c r="N82" s="1019"/>
      <c r="O82" s="1019">
        <f>ROUND((H81*K82/3600),5)</f>
        <v>3.7310000000000003E-2</v>
      </c>
      <c r="P82" s="1019">
        <f>ROUND((I81*K82/1000000),5)</f>
        <v>4.0000000000000002E-4</v>
      </c>
    </row>
    <row r="83" spans="1:18" ht="14.1" customHeight="1" x14ac:dyDescent="0.25">
      <c r="B83" s="1445"/>
      <c r="C83" s="1445"/>
      <c r="D83" s="1025"/>
      <c r="E83" s="985"/>
      <c r="F83" s="980"/>
      <c r="G83" s="980"/>
      <c r="H83" s="1001"/>
      <c r="I83" s="1002"/>
      <c r="J83" s="1026"/>
      <c r="K83" s="1017">
        <v>1.18</v>
      </c>
      <c r="L83" s="1018" t="s">
        <v>165</v>
      </c>
      <c r="M83" s="993" t="s">
        <v>144</v>
      </c>
      <c r="N83" s="1032"/>
      <c r="O83" s="1019">
        <f>ROUND((H81*K83/3600),5)</f>
        <v>1.992E-2</v>
      </c>
      <c r="P83" s="1019">
        <f>ROUND((I81*K83/1000000),5)</f>
        <v>2.2000000000000001E-4</v>
      </c>
    </row>
    <row r="84" spans="1:18" ht="14.1" customHeight="1" x14ac:dyDescent="0.25">
      <c r="B84" s="1446"/>
      <c r="C84" s="1446"/>
      <c r="D84" s="1027"/>
      <c r="E84" s="1023"/>
      <c r="F84" s="1031"/>
      <c r="G84" s="1031"/>
      <c r="H84" s="1028"/>
      <c r="I84" s="1029"/>
      <c r="J84" s="1030"/>
      <c r="K84" s="1017">
        <v>1.5</v>
      </c>
      <c r="L84" s="1018" t="s">
        <v>1239</v>
      </c>
      <c r="M84" s="993" t="s">
        <v>153</v>
      </c>
      <c r="N84" s="1032"/>
      <c r="O84" s="1019">
        <f>ROUND((H81*K84/3600),5)</f>
        <v>2.5329999999999998E-2</v>
      </c>
      <c r="P84" s="1019">
        <f>ROUND((I81*K84/1000000),5)</f>
        <v>2.7E-4</v>
      </c>
    </row>
    <row r="85" spans="1:18" ht="14.1" customHeight="1" x14ac:dyDescent="0.25">
      <c r="A85" s="1465" t="s">
        <v>1256</v>
      </c>
      <c r="B85" s="1466"/>
      <c r="C85" s="1466"/>
      <c r="D85" s="1466"/>
      <c r="E85" s="1466"/>
      <c r="F85" s="1466"/>
      <c r="G85" s="1466"/>
      <c r="H85" s="1466"/>
      <c r="I85" s="1466"/>
      <c r="J85" s="1466"/>
      <c r="K85" s="1467"/>
      <c r="L85" s="1040" t="s">
        <v>149</v>
      </c>
      <c r="M85" s="1041" t="s">
        <v>150</v>
      </c>
      <c r="N85" s="1041"/>
      <c r="O85" s="1044">
        <f>O66+O73+O76+O82</f>
        <v>0.26600999999999997</v>
      </c>
      <c r="P85" s="1044">
        <f>P66+P73+P76+P82</f>
        <v>3.5619999999999992E-2</v>
      </c>
    </row>
    <row r="86" spans="1:18" ht="14.1" customHeight="1" x14ac:dyDescent="0.25">
      <c r="A86" s="1468"/>
      <c r="B86" s="1469"/>
      <c r="C86" s="1469"/>
      <c r="D86" s="1469"/>
      <c r="E86" s="1469"/>
      <c r="F86" s="1469"/>
      <c r="G86" s="1469"/>
      <c r="H86" s="1469"/>
      <c r="I86" s="1469"/>
      <c r="J86" s="1469"/>
      <c r="K86" s="1470"/>
      <c r="L86" s="1040" t="s">
        <v>145</v>
      </c>
      <c r="M86" s="1041" t="s">
        <v>146</v>
      </c>
      <c r="N86" s="1045"/>
      <c r="O86" s="1044">
        <f>O67+O74+O77+O81</f>
        <v>4.9859999999999995E-2</v>
      </c>
      <c r="P86" s="1044">
        <f>P67+P74+P77+P81</f>
        <v>7.4999999999999989E-3</v>
      </c>
    </row>
    <row r="87" spans="1:18" ht="14.1" customHeight="1" x14ac:dyDescent="0.25">
      <c r="A87" s="1468"/>
      <c r="B87" s="1469"/>
      <c r="C87" s="1469"/>
      <c r="D87" s="1469"/>
      <c r="E87" s="1469"/>
      <c r="F87" s="1469"/>
      <c r="G87" s="1469"/>
      <c r="H87" s="1469"/>
      <c r="I87" s="1469"/>
      <c r="J87" s="1469"/>
      <c r="K87" s="1470"/>
      <c r="L87" s="1046" t="s">
        <v>1244</v>
      </c>
      <c r="M87" s="1041" t="s">
        <v>1245</v>
      </c>
      <c r="N87" s="1042"/>
      <c r="O87" s="1047">
        <f>O68+O80</f>
        <v>9.2800000000000001E-3</v>
      </c>
      <c r="P87" s="1047">
        <f>P68+P80</f>
        <v>1.33E-3</v>
      </c>
    </row>
    <row r="88" spans="1:18" ht="14.1" customHeight="1" x14ac:dyDescent="0.25">
      <c r="A88" s="1468"/>
      <c r="B88" s="1469"/>
      <c r="C88" s="1469"/>
      <c r="D88" s="1469"/>
      <c r="E88" s="1469"/>
      <c r="F88" s="1469"/>
      <c r="G88" s="1469"/>
      <c r="H88" s="1469"/>
      <c r="I88" s="1469"/>
      <c r="J88" s="1469"/>
      <c r="K88" s="1470"/>
      <c r="L88" s="1040" t="s">
        <v>1246</v>
      </c>
      <c r="M88" s="1041" t="s">
        <v>1247</v>
      </c>
      <c r="N88" s="1042"/>
      <c r="O88" s="1044">
        <f>O69</f>
        <v>2.14E-3</v>
      </c>
      <c r="P88" s="1044">
        <f>P69</f>
        <v>5.1999999999999995E-4</v>
      </c>
    </row>
    <row r="89" spans="1:18" ht="14.1" customHeight="1" x14ac:dyDescent="0.25">
      <c r="A89" s="1468"/>
      <c r="B89" s="1469"/>
      <c r="C89" s="1469"/>
      <c r="D89" s="1469"/>
      <c r="E89" s="1469"/>
      <c r="F89" s="1469"/>
      <c r="G89" s="1469"/>
      <c r="H89" s="1469"/>
      <c r="I89" s="1469"/>
      <c r="J89" s="1469"/>
      <c r="K89" s="1470"/>
      <c r="L89" s="1040" t="s">
        <v>1248</v>
      </c>
      <c r="M89" s="1041" t="s">
        <v>1249</v>
      </c>
      <c r="N89" s="1042"/>
      <c r="O89" s="1047">
        <f>O70+O79</f>
        <v>9.5009999999999997E-2</v>
      </c>
      <c r="P89" s="1047">
        <f>P70+P79</f>
        <v>1.1170000000000001E-2</v>
      </c>
    </row>
    <row r="90" spans="1:18" ht="14.1" customHeight="1" x14ac:dyDescent="0.25">
      <c r="A90" s="1468"/>
      <c r="B90" s="1469"/>
      <c r="C90" s="1469"/>
      <c r="D90" s="1469"/>
      <c r="E90" s="1469"/>
      <c r="F90" s="1469"/>
      <c r="G90" s="1469"/>
      <c r="H90" s="1469"/>
      <c r="I90" s="1469"/>
      <c r="J90" s="1469"/>
      <c r="K90" s="1470"/>
      <c r="L90" s="1050" t="s">
        <v>1238</v>
      </c>
      <c r="M90" s="1051" t="s">
        <v>49</v>
      </c>
      <c r="N90" s="1043"/>
      <c r="O90" s="1047">
        <f>O75+O78</f>
        <v>2.6210000000000001E-2</v>
      </c>
      <c r="P90" s="1047">
        <f>P75+P78</f>
        <v>3.4299999999999999E-3</v>
      </c>
    </row>
    <row r="91" spans="1:18" ht="14.1" customHeight="1" x14ac:dyDescent="0.25">
      <c r="A91" s="1468"/>
      <c r="B91" s="1469"/>
      <c r="C91" s="1469"/>
      <c r="D91" s="1469"/>
      <c r="E91" s="1469"/>
      <c r="F91" s="1469"/>
      <c r="G91" s="1469"/>
      <c r="H91" s="1469"/>
      <c r="I91" s="1469"/>
      <c r="J91" s="1469"/>
      <c r="K91" s="1470"/>
      <c r="L91" s="1048" t="s">
        <v>165</v>
      </c>
      <c r="M91" s="1049" t="s">
        <v>144</v>
      </c>
      <c r="N91" s="1049"/>
      <c r="O91" s="1044">
        <f>O71+O83</f>
        <v>2.181E-2</v>
      </c>
      <c r="P91" s="1044">
        <f>P71+P83</f>
        <v>6.8000000000000005E-4</v>
      </c>
    </row>
    <row r="92" spans="1:18" ht="14.1" customHeight="1" x14ac:dyDescent="0.25">
      <c r="A92" s="1471"/>
      <c r="B92" s="1472"/>
      <c r="C92" s="1472"/>
      <c r="D92" s="1472"/>
      <c r="E92" s="1472"/>
      <c r="F92" s="1472"/>
      <c r="G92" s="1472"/>
      <c r="H92" s="1472"/>
      <c r="I92" s="1472"/>
      <c r="J92" s="1472"/>
      <c r="K92" s="1473"/>
      <c r="L92" s="1040" t="s">
        <v>1239</v>
      </c>
      <c r="M92" s="1041" t="s">
        <v>153</v>
      </c>
      <c r="N92" s="1041"/>
      <c r="O92" s="1044">
        <f>O72+O84</f>
        <v>2.76E-2</v>
      </c>
      <c r="P92" s="1044">
        <f>P72+P84</f>
        <v>8.1999999999999998E-4</v>
      </c>
      <c r="Q92" s="2">
        <f>SUM(O85:O92)</f>
        <v>0.49791999999999997</v>
      </c>
      <c r="R92" s="2">
        <f>SUM(P85:P92)</f>
        <v>6.1069999999999992E-2</v>
      </c>
    </row>
    <row r="93" spans="1:18" ht="14.1" customHeight="1" x14ac:dyDescent="0.25">
      <c r="A93" s="1455" t="s">
        <v>63</v>
      </c>
      <c r="B93" s="1456"/>
      <c r="C93" s="1457"/>
      <c r="D93" s="1457"/>
      <c r="E93" s="1456"/>
      <c r="F93" s="1456"/>
      <c r="G93" s="1456"/>
      <c r="H93" s="1456"/>
      <c r="I93" s="1456"/>
      <c r="J93" s="1456"/>
      <c r="K93" s="1456"/>
      <c r="L93" s="1456"/>
      <c r="M93" s="1456"/>
      <c r="N93" s="1456"/>
      <c r="O93" s="1456"/>
      <c r="P93" s="1458"/>
    </row>
    <row r="94" spans="1:18" ht="14.1" customHeight="1" x14ac:dyDescent="0.25">
      <c r="A94" s="1459" t="s">
        <v>8</v>
      </c>
      <c r="B94" s="1460"/>
      <c r="C94" s="1460"/>
      <c r="D94" s="1460"/>
      <c r="E94" s="1460"/>
      <c r="F94" s="1460"/>
      <c r="G94" s="1460"/>
      <c r="H94" s="1460"/>
      <c r="I94" s="1460"/>
      <c r="J94" s="1460"/>
      <c r="K94" s="1460"/>
      <c r="L94" s="1460"/>
      <c r="M94" s="1460"/>
      <c r="N94" s="1460"/>
      <c r="O94" s="1460"/>
      <c r="P94" s="1461"/>
    </row>
    <row r="95" spans="1:18" ht="14.1" customHeight="1" x14ac:dyDescent="0.25">
      <c r="A95" s="961">
        <v>7006</v>
      </c>
      <c r="B95" s="1462" t="s">
        <v>1242</v>
      </c>
      <c r="C95" s="1462" t="s">
        <v>1241</v>
      </c>
      <c r="D95" s="952" t="s">
        <v>1243</v>
      </c>
      <c r="E95" s="953"/>
      <c r="F95" s="954">
        <v>45.25</v>
      </c>
      <c r="G95" s="955">
        <v>923.08</v>
      </c>
      <c r="H95" s="996"/>
      <c r="I95" s="997"/>
      <c r="J95" s="998">
        <f>G95/F95</f>
        <v>20.399558011049724</v>
      </c>
      <c r="K95" s="956">
        <v>0.96</v>
      </c>
      <c r="L95" s="957" t="s">
        <v>149</v>
      </c>
      <c r="M95" s="958" t="s">
        <v>150</v>
      </c>
      <c r="N95" s="958"/>
      <c r="O95" s="1019">
        <f>ROUND(((F95*K95)/(3600)),5)</f>
        <v>1.2070000000000001E-2</v>
      </c>
      <c r="P95" s="959">
        <f>ROUND((G95*K95/1000000),5)</f>
        <v>8.8999999999999995E-4</v>
      </c>
    </row>
    <row r="96" spans="1:18" ht="14.1" customHeight="1" x14ac:dyDescent="0.25">
      <c r="A96" s="990" t="s">
        <v>1240</v>
      </c>
      <c r="B96" s="1463"/>
      <c r="C96" s="1463"/>
      <c r="D96" s="960"/>
      <c r="E96" s="961"/>
      <c r="F96" s="999"/>
      <c r="G96" s="1000"/>
      <c r="H96" s="1001"/>
      <c r="I96" s="1002"/>
      <c r="J96" s="1002"/>
      <c r="K96" s="956">
        <v>0.01</v>
      </c>
      <c r="L96" s="957" t="s">
        <v>145</v>
      </c>
      <c r="M96" s="958" t="s">
        <v>146</v>
      </c>
      <c r="N96" s="958"/>
      <c r="O96" s="1019">
        <f>ROUND(((F95*K96)/(3600)),5)</f>
        <v>1.2999999999999999E-4</v>
      </c>
      <c r="P96" s="959">
        <f>ROUND((G95*K96/1000000),5)</f>
        <v>1.0000000000000001E-5</v>
      </c>
    </row>
    <row r="97" spans="1:16" ht="14.1" customHeight="1" x14ac:dyDescent="0.25">
      <c r="A97" s="968"/>
      <c r="B97" s="1463"/>
      <c r="C97" s="1463"/>
      <c r="D97" s="960"/>
      <c r="E97" s="961"/>
      <c r="F97" s="962"/>
      <c r="G97" s="963"/>
      <c r="H97" s="960"/>
      <c r="I97" s="961"/>
      <c r="J97" s="961"/>
      <c r="K97" s="956">
        <v>0.16</v>
      </c>
      <c r="L97" s="964" t="s">
        <v>1244</v>
      </c>
      <c r="M97" s="958" t="s">
        <v>1245</v>
      </c>
      <c r="N97" s="958"/>
      <c r="O97" s="1019">
        <f>ROUND(((F95*K97)/(3600)),5)</f>
        <v>2.0100000000000001E-3</v>
      </c>
      <c r="P97" s="959">
        <f>ROUND((G95*K97/1000000),5)</f>
        <v>1.4999999999999999E-4</v>
      </c>
    </row>
    <row r="98" spans="1:16" ht="14.1" customHeight="1" x14ac:dyDescent="0.25">
      <c r="A98" s="968"/>
      <c r="B98" s="1463"/>
      <c r="C98" s="1463"/>
      <c r="D98" s="960"/>
      <c r="E98" s="961"/>
      <c r="F98" s="965"/>
      <c r="G98" s="966"/>
      <c r="H98" s="967"/>
      <c r="I98" s="968"/>
      <c r="J98" s="968"/>
      <c r="K98" s="956">
        <v>0.17</v>
      </c>
      <c r="L98" s="957" t="s">
        <v>1246</v>
      </c>
      <c r="M98" s="958" t="s">
        <v>1247</v>
      </c>
      <c r="N98" s="958"/>
      <c r="O98" s="1019">
        <f>ROUND(((F95*K98)/(3600)),5)</f>
        <v>2.14E-3</v>
      </c>
      <c r="P98" s="959">
        <f>ROUND((G95*K98/1000000),5)</f>
        <v>1.6000000000000001E-4</v>
      </c>
    </row>
    <row r="99" spans="1:16" ht="14.1" customHeight="1" x14ac:dyDescent="0.25">
      <c r="A99" s="968"/>
      <c r="B99" s="1463"/>
      <c r="C99" s="1463"/>
      <c r="D99" s="969"/>
      <c r="E99" s="970"/>
      <c r="F99" s="965"/>
      <c r="G99" s="966"/>
      <c r="H99" s="967"/>
      <c r="I99" s="968"/>
      <c r="J99" s="968"/>
      <c r="K99" s="956">
        <v>0.12</v>
      </c>
      <c r="L99" s="957" t="s">
        <v>1248</v>
      </c>
      <c r="M99" s="958" t="s">
        <v>1249</v>
      </c>
      <c r="N99" s="958"/>
      <c r="O99" s="1020">
        <f>ROUND(((F95*K99)/(3600)),5)</f>
        <v>1.5100000000000001E-3</v>
      </c>
      <c r="P99" s="971">
        <f>ROUND((G95*K99/1000000),5)</f>
        <v>1.1E-4</v>
      </c>
    </row>
    <row r="100" spans="1:16" ht="14.1" customHeight="1" x14ac:dyDescent="0.25">
      <c r="A100" s="968"/>
      <c r="B100" s="1463"/>
      <c r="C100" s="1463"/>
      <c r="D100" s="967"/>
      <c r="E100" s="968"/>
      <c r="F100" s="965"/>
      <c r="G100" s="966"/>
      <c r="H100" s="967"/>
      <c r="I100" s="968"/>
      <c r="J100" s="968"/>
      <c r="K100" s="956">
        <v>0.15</v>
      </c>
      <c r="L100" s="972" t="s">
        <v>165</v>
      </c>
      <c r="M100" s="973" t="s">
        <v>144</v>
      </c>
      <c r="N100" s="973"/>
      <c r="O100" s="1019">
        <f>ROUND(((F95*K100)/(3600)),5)</f>
        <v>1.89E-3</v>
      </c>
      <c r="P100" s="959">
        <f>ROUND((G95*K100/1000000),5)</f>
        <v>1.3999999999999999E-4</v>
      </c>
    </row>
    <row r="101" spans="1:16" ht="14.1" customHeight="1" x14ac:dyDescent="0.25">
      <c r="A101" s="968"/>
      <c r="B101" s="1464"/>
      <c r="C101" s="1464"/>
      <c r="D101" s="974"/>
      <c r="E101" s="975"/>
      <c r="F101" s="976"/>
      <c r="G101" s="977"/>
      <c r="H101" s="974"/>
      <c r="I101" s="975"/>
      <c r="J101" s="975"/>
      <c r="K101" s="956">
        <v>0.18</v>
      </c>
      <c r="L101" s="957" t="s">
        <v>1239</v>
      </c>
      <c r="M101" s="958" t="s">
        <v>153</v>
      </c>
      <c r="N101" s="958"/>
      <c r="O101" s="1019">
        <f>ROUND(((F95*K101)/(3600)),5)</f>
        <v>2.2599999999999999E-3</v>
      </c>
      <c r="P101" s="959">
        <f>ROUND((G95*K101/1000000),5)</f>
        <v>1.7000000000000001E-4</v>
      </c>
    </row>
    <row r="102" spans="1:16" ht="14.1" customHeight="1" x14ac:dyDescent="0.25">
      <c r="B102" s="1450" t="s">
        <v>1242</v>
      </c>
      <c r="C102" s="1450" t="s">
        <v>1250</v>
      </c>
      <c r="D102" s="1003" t="s">
        <v>1243</v>
      </c>
      <c r="E102" s="1004"/>
      <c r="F102" s="1003">
        <v>85.94</v>
      </c>
      <c r="G102" s="1005">
        <v>1100</v>
      </c>
      <c r="H102" s="1005"/>
      <c r="I102" s="1003"/>
      <c r="J102" s="1016">
        <f>G102/F102</f>
        <v>12.799627647195718</v>
      </c>
      <c r="K102" s="1006">
        <v>7.67</v>
      </c>
      <c r="L102" s="1007" t="s">
        <v>149</v>
      </c>
      <c r="M102" s="1008" t="s">
        <v>150</v>
      </c>
      <c r="N102" s="1006"/>
      <c r="O102" s="1006">
        <f>ROUND(((F102*K102)/(3600)),5)</f>
        <v>0.18310000000000001</v>
      </c>
      <c r="P102" s="1006">
        <f>ROUND((G102*K102/1000000),5)</f>
        <v>8.4399999999999996E-3</v>
      </c>
    </row>
    <row r="103" spans="1:16" ht="14.1" customHeight="1" x14ac:dyDescent="0.25">
      <c r="B103" s="1451"/>
      <c r="C103" s="1453"/>
      <c r="D103" s="1009" t="s">
        <v>1255</v>
      </c>
      <c r="E103" s="1010"/>
      <c r="F103" s="1009"/>
      <c r="G103" s="1011"/>
      <c r="H103" s="1011"/>
      <c r="I103" s="1009"/>
      <c r="J103" s="1009"/>
      <c r="K103" s="1006">
        <v>1.9</v>
      </c>
      <c r="L103" s="1007" t="s">
        <v>145</v>
      </c>
      <c r="M103" s="1008" t="s">
        <v>146</v>
      </c>
      <c r="N103" s="1006"/>
      <c r="O103" s="1006">
        <f>ROUND(((F102*K103)/(3600)),5)</f>
        <v>4.5359999999999998E-2</v>
      </c>
      <c r="P103" s="1006">
        <f>ROUND((G102*K103/1000000),5)</f>
        <v>2.0899999999999998E-3</v>
      </c>
    </row>
    <row r="104" spans="1:16" ht="14.1" customHeight="1" x14ac:dyDescent="0.25">
      <c r="B104" s="1452"/>
      <c r="C104" s="1454"/>
      <c r="D104" s="1012"/>
      <c r="E104" s="1013"/>
      <c r="F104" s="1012"/>
      <c r="G104" s="1014"/>
      <c r="H104" s="1014"/>
      <c r="I104" s="1012"/>
      <c r="J104" s="1012"/>
      <c r="K104" s="1006">
        <v>0.43</v>
      </c>
      <c r="L104" s="1015" t="s">
        <v>1238</v>
      </c>
      <c r="M104" s="1008" t="s">
        <v>49</v>
      </c>
      <c r="N104" s="1006"/>
      <c r="O104" s="1006">
        <f>ROUND(((F102*K104)/(3600)),5)</f>
        <v>1.027E-2</v>
      </c>
      <c r="P104" s="1006">
        <f>ROUND((G102*K104/1000000),5)</f>
        <v>4.6999999999999999E-4</v>
      </c>
    </row>
    <row r="105" spans="1:16" ht="14.1" customHeight="1" x14ac:dyDescent="0.25">
      <c r="B105" s="1444" t="s">
        <v>1242</v>
      </c>
      <c r="C105" s="1447" t="s">
        <v>1251</v>
      </c>
      <c r="D105" s="996" t="s">
        <v>1243</v>
      </c>
      <c r="E105" s="997"/>
      <c r="F105" s="995">
        <v>40</v>
      </c>
      <c r="G105" s="994">
        <v>400</v>
      </c>
      <c r="H105" s="996"/>
      <c r="I105" s="997"/>
      <c r="J105" s="998">
        <f>G105/F105</f>
        <v>10</v>
      </c>
      <c r="K105" s="1017">
        <v>2.6</v>
      </c>
      <c r="L105" s="1018" t="s">
        <v>149</v>
      </c>
      <c r="M105" s="993" t="s">
        <v>150</v>
      </c>
      <c r="N105" s="993"/>
      <c r="O105" s="1019">
        <f>ROUND(((F105*K105)/(3600)),5)</f>
        <v>2.8889999999999999E-2</v>
      </c>
      <c r="P105" s="1019">
        <f>ROUND((G105*K105/1000000),5)</f>
        <v>1.0399999999999999E-3</v>
      </c>
    </row>
    <row r="106" spans="1:16" ht="14.1" customHeight="1" x14ac:dyDescent="0.25">
      <c r="B106" s="1445"/>
      <c r="C106" s="1448"/>
      <c r="D106" s="1001" t="s">
        <v>1252</v>
      </c>
      <c r="E106" s="1002"/>
      <c r="F106" s="999"/>
      <c r="G106" s="1000"/>
      <c r="H106" s="1001"/>
      <c r="I106" s="1002"/>
      <c r="J106" s="1002"/>
      <c r="K106" s="1017">
        <v>0.2</v>
      </c>
      <c r="L106" s="1018" t="s">
        <v>145</v>
      </c>
      <c r="M106" s="993" t="s">
        <v>146</v>
      </c>
      <c r="N106" s="993"/>
      <c r="O106" s="1019">
        <f>ROUND(((F105*K106)/(3600)),5)</f>
        <v>2.2200000000000002E-3</v>
      </c>
      <c r="P106" s="1019">
        <f>ROUND((G105*K106/1000000),5)</f>
        <v>8.0000000000000007E-5</v>
      </c>
    </row>
    <row r="107" spans="1:16" ht="14.1" customHeight="1" x14ac:dyDescent="0.25">
      <c r="B107" s="1445"/>
      <c r="C107" s="1448"/>
      <c r="D107" s="1001"/>
      <c r="E107" s="1002"/>
      <c r="F107" s="999"/>
      <c r="G107" s="1000"/>
      <c r="H107" s="1001"/>
      <c r="I107" s="1002"/>
      <c r="J107" s="1002"/>
      <c r="K107" s="1017">
        <v>1.5</v>
      </c>
      <c r="L107" s="1015" t="s">
        <v>1238</v>
      </c>
      <c r="M107" s="1008" t="s">
        <v>49</v>
      </c>
      <c r="N107" s="993"/>
      <c r="O107" s="1019">
        <f>ROUND(((F105*K107)/(3600)),5)</f>
        <v>1.6670000000000001E-2</v>
      </c>
      <c r="P107" s="1019">
        <f>ROUND((G105*K107/1000000),5)</f>
        <v>5.9999999999999995E-4</v>
      </c>
    </row>
    <row r="108" spans="1:16" ht="14.1" customHeight="1" x14ac:dyDescent="0.25">
      <c r="B108" s="1445"/>
      <c r="C108" s="1448"/>
      <c r="D108" s="1001"/>
      <c r="E108" s="1002"/>
      <c r="F108" s="1033"/>
      <c r="G108" s="1034"/>
      <c r="H108" s="1035"/>
      <c r="I108" s="1026"/>
      <c r="J108" s="1026"/>
      <c r="K108" s="1017">
        <v>9</v>
      </c>
      <c r="L108" s="1018" t="s">
        <v>1248</v>
      </c>
      <c r="M108" s="993" t="s">
        <v>1249</v>
      </c>
      <c r="N108" s="993"/>
      <c r="O108" s="1019">
        <f>ROUND(((F105*K108)/(3600)),5)</f>
        <v>0.1</v>
      </c>
      <c r="P108" s="1019">
        <f>ROUND((G105*K108/1000000),5)</f>
        <v>3.5999999999999999E-3</v>
      </c>
    </row>
    <row r="109" spans="1:16" ht="14.1" customHeight="1" x14ac:dyDescent="0.25">
      <c r="B109" s="1446"/>
      <c r="C109" s="1449"/>
      <c r="D109" s="1027"/>
      <c r="E109" s="1036"/>
      <c r="F109" s="1037"/>
      <c r="G109" s="1038"/>
      <c r="H109" s="1039"/>
      <c r="I109" s="1030"/>
      <c r="J109" s="1030"/>
      <c r="K109" s="1017">
        <v>0.7</v>
      </c>
      <c r="L109" s="992" t="s">
        <v>1244</v>
      </c>
      <c r="M109" s="993" t="s">
        <v>1245</v>
      </c>
      <c r="N109" s="993"/>
      <c r="O109" s="1020">
        <f>ROUND(((F105*K109)/(3600)),5)</f>
        <v>7.7799999999999996E-3</v>
      </c>
      <c r="P109" s="1020">
        <f>ROUND((G105*K109/1000000),5)</f>
        <v>2.7999999999999998E-4</v>
      </c>
    </row>
    <row r="110" spans="1:16" ht="14.1" customHeight="1" x14ac:dyDescent="0.25">
      <c r="B110" s="1444" t="s">
        <v>1242</v>
      </c>
      <c r="C110" s="1444" t="s">
        <v>1254</v>
      </c>
      <c r="D110" s="996" t="s">
        <v>1253</v>
      </c>
      <c r="E110" s="996">
        <v>5</v>
      </c>
      <c r="F110" s="996"/>
      <c r="G110" s="996"/>
      <c r="H110" s="996">
        <v>54.7</v>
      </c>
      <c r="I110" s="997">
        <v>54.7</v>
      </c>
      <c r="J110" s="997">
        <f>ROUND((I110/H110),1)</f>
        <v>1</v>
      </c>
      <c r="K110" s="1017">
        <v>0.04</v>
      </c>
      <c r="L110" s="1018" t="s">
        <v>145</v>
      </c>
      <c r="M110" s="993" t="s">
        <v>146</v>
      </c>
      <c r="N110" s="1019"/>
      <c r="O110" s="1019">
        <f>ROUND((H110*K110/3600),5)</f>
        <v>6.0999999999999997E-4</v>
      </c>
      <c r="P110" s="1019">
        <f>ROUND((I110*K110/1000000),6)</f>
        <v>1.9999999999999999E-6</v>
      </c>
    </row>
    <row r="111" spans="1:16" ht="14.1" customHeight="1" x14ac:dyDescent="0.25">
      <c r="B111" s="1445"/>
      <c r="C111" s="1445"/>
      <c r="D111" s="1025"/>
      <c r="E111" s="1025"/>
      <c r="F111" s="1001"/>
      <c r="G111" s="1001"/>
      <c r="H111" s="1001"/>
      <c r="I111" s="1002"/>
      <c r="J111" s="1026"/>
      <c r="K111" s="1017">
        <v>2.21</v>
      </c>
      <c r="L111" s="1018" t="s">
        <v>149</v>
      </c>
      <c r="M111" s="993" t="s">
        <v>150</v>
      </c>
      <c r="N111" s="1019"/>
      <c r="O111" s="1019">
        <f>ROUND((H110*K111/3600),5)</f>
        <v>3.3579999999999999E-2</v>
      </c>
      <c r="P111" s="1019">
        <f>ROUND((I110*K111/1000000),5)</f>
        <v>1.2E-4</v>
      </c>
    </row>
    <row r="112" spans="1:16" ht="14.1" customHeight="1" x14ac:dyDescent="0.25">
      <c r="B112" s="1445"/>
      <c r="C112" s="1445"/>
      <c r="D112" s="1025"/>
      <c r="E112" s="1025"/>
      <c r="F112" s="1001"/>
      <c r="G112" s="1001"/>
      <c r="H112" s="1001"/>
      <c r="I112" s="1002"/>
      <c r="J112" s="1026"/>
      <c r="K112" s="1017">
        <v>1.18</v>
      </c>
      <c r="L112" s="1018" t="s">
        <v>165</v>
      </c>
      <c r="M112" s="993" t="s">
        <v>144</v>
      </c>
      <c r="N112" s="1032"/>
      <c r="O112" s="1019">
        <f>ROUND((H110*K112/3600),5)</f>
        <v>1.7930000000000001E-2</v>
      </c>
      <c r="P112" s="1019">
        <f>ROUND((I110*K112/1000000),5)</f>
        <v>6.0000000000000002E-5</v>
      </c>
    </row>
    <row r="113" spans="1:18" ht="14.1" customHeight="1" x14ac:dyDescent="0.25">
      <c r="B113" s="1446"/>
      <c r="C113" s="1446"/>
      <c r="D113" s="1027"/>
      <c r="E113" s="1027"/>
      <c r="F113" s="1028"/>
      <c r="G113" s="1028"/>
      <c r="H113" s="1028"/>
      <c r="I113" s="1029"/>
      <c r="J113" s="1030"/>
      <c r="K113" s="1017">
        <v>1.5</v>
      </c>
      <c r="L113" s="1018" t="s">
        <v>1239</v>
      </c>
      <c r="M113" s="993" t="s">
        <v>153</v>
      </c>
      <c r="N113" s="1032"/>
      <c r="O113" s="1019">
        <f>ROUND((H110*K113/3600),5)</f>
        <v>2.2790000000000001E-2</v>
      </c>
      <c r="P113" s="1019">
        <f>ROUND((I110*K113/1000000),5)</f>
        <v>8.0000000000000007E-5</v>
      </c>
    </row>
    <row r="114" spans="1:18" ht="14.1" customHeight="1" x14ac:dyDescent="0.25">
      <c r="A114" s="1465" t="s">
        <v>1256</v>
      </c>
      <c r="B114" s="1466"/>
      <c r="C114" s="1466"/>
      <c r="D114" s="1466"/>
      <c r="E114" s="1466"/>
      <c r="F114" s="1466"/>
      <c r="G114" s="1466"/>
      <c r="H114" s="1466"/>
      <c r="I114" s="1466"/>
      <c r="J114" s="1466"/>
      <c r="K114" s="1467"/>
      <c r="L114" s="1040" t="s">
        <v>149</v>
      </c>
      <c r="M114" s="1041" t="s">
        <v>150</v>
      </c>
      <c r="N114" s="1041"/>
      <c r="O114" s="1044">
        <f>O95+O102+O105+O111</f>
        <v>0.25763999999999998</v>
      </c>
      <c r="P114" s="1044">
        <f>P95+P102+P105+P111</f>
        <v>1.0489999999999999E-2</v>
      </c>
    </row>
    <row r="115" spans="1:18" ht="14.1" customHeight="1" x14ac:dyDescent="0.25">
      <c r="A115" s="1468"/>
      <c r="B115" s="1469"/>
      <c r="C115" s="1469"/>
      <c r="D115" s="1469"/>
      <c r="E115" s="1469"/>
      <c r="F115" s="1469"/>
      <c r="G115" s="1469"/>
      <c r="H115" s="1469"/>
      <c r="I115" s="1469"/>
      <c r="J115" s="1469"/>
      <c r="K115" s="1470"/>
      <c r="L115" s="1040" t="s">
        <v>145</v>
      </c>
      <c r="M115" s="1041" t="s">
        <v>146</v>
      </c>
      <c r="N115" s="1045"/>
      <c r="O115" s="1044">
        <f>O96+O103+O106+O110</f>
        <v>4.8319999999999995E-2</v>
      </c>
      <c r="P115" s="1044">
        <f>P96+P103+P106+P110</f>
        <v>2.1819999999999999E-3</v>
      </c>
    </row>
    <row r="116" spans="1:18" ht="14.1" customHeight="1" x14ac:dyDescent="0.25">
      <c r="A116" s="1468"/>
      <c r="B116" s="1469"/>
      <c r="C116" s="1469"/>
      <c r="D116" s="1469"/>
      <c r="E116" s="1469"/>
      <c r="F116" s="1469"/>
      <c r="G116" s="1469"/>
      <c r="H116" s="1469"/>
      <c r="I116" s="1469"/>
      <c r="J116" s="1469"/>
      <c r="K116" s="1470"/>
      <c r="L116" s="1046" t="s">
        <v>1244</v>
      </c>
      <c r="M116" s="1041" t="s">
        <v>1245</v>
      </c>
      <c r="N116" s="1042"/>
      <c r="O116" s="1047">
        <f>O97+O109</f>
        <v>9.7900000000000001E-3</v>
      </c>
      <c r="P116" s="1047">
        <f>P97+P109</f>
        <v>4.2999999999999994E-4</v>
      </c>
    </row>
    <row r="117" spans="1:18" ht="14.1" customHeight="1" x14ac:dyDescent="0.25">
      <c r="A117" s="1468"/>
      <c r="B117" s="1469"/>
      <c r="C117" s="1469"/>
      <c r="D117" s="1469"/>
      <c r="E117" s="1469"/>
      <c r="F117" s="1469"/>
      <c r="G117" s="1469"/>
      <c r="H117" s="1469"/>
      <c r="I117" s="1469"/>
      <c r="J117" s="1469"/>
      <c r="K117" s="1470"/>
      <c r="L117" s="1040" t="s">
        <v>1246</v>
      </c>
      <c r="M117" s="1041" t="s">
        <v>1247</v>
      </c>
      <c r="N117" s="1042"/>
      <c r="O117" s="1044">
        <f>O98</f>
        <v>2.14E-3</v>
      </c>
      <c r="P117" s="1044">
        <f>P98</f>
        <v>1.6000000000000001E-4</v>
      </c>
    </row>
    <row r="118" spans="1:18" ht="14.1" customHeight="1" x14ac:dyDescent="0.25">
      <c r="A118" s="1468"/>
      <c r="B118" s="1469"/>
      <c r="C118" s="1469"/>
      <c r="D118" s="1469"/>
      <c r="E118" s="1469"/>
      <c r="F118" s="1469"/>
      <c r="G118" s="1469"/>
      <c r="H118" s="1469"/>
      <c r="I118" s="1469"/>
      <c r="J118" s="1469"/>
      <c r="K118" s="1470"/>
      <c r="L118" s="1040" t="s">
        <v>1248</v>
      </c>
      <c r="M118" s="1041" t="s">
        <v>1249</v>
      </c>
      <c r="N118" s="1042"/>
      <c r="O118" s="1047">
        <f>O99+O108</f>
        <v>0.10151</v>
      </c>
      <c r="P118" s="1047">
        <f>P99+P108</f>
        <v>3.7099999999999998E-3</v>
      </c>
    </row>
    <row r="119" spans="1:18" ht="14.1" customHeight="1" x14ac:dyDescent="0.25">
      <c r="A119" s="1468"/>
      <c r="B119" s="1469"/>
      <c r="C119" s="1469"/>
      <c r="D119" s="1469"/>
      <c r="E119" s="1469"/>
      <c r="F119" s="1469"/>
      <c r="G119" s="1469"/>
      <c r="H119" s="1469"/>
      <c r="I119" s="1469"/>
      <c r="J119" s="1469"/>
      <c r="K119" s="1470"/>
      <c r="L119" s="1050" t="s">
        <v>1238</v>
      </c>
      <c r="M119" s="1051" t="s">
        <v>49</v>
      </c>
      <c r="N119" s="1043"/>
      <c r="O119" s="1047">
        <f>O104+O107</f>
        <v>2.6939999999999999E-2</v>
      </c>
      <c r="P119" s="1047">
        <f>P104+P107</f>
        <v>1.07E-3</v>
      </c>
    </row>
    <row r="120" spans="1:18" ht="14.1" customHeight="1" x14ac:dyDescent="0.25">
      <c r="A120" s="1468"/>
      <c r="B120" s="1469"/>
      <c r="C120" s="1469"/>
      <c r="D120" s="1469"/>
      <c r="E120" s="1469"/>
      <c r="F120" s="1469"/>
      <c r="G120" s="1469"/>
      <c r="H120" s="1469"/>
      <c r="I120" s="1469"/>
      <c r="J120" s="1469"/>
      <c r="K120" s="1470"/>
      <c r="L120" s="1048" t="s">
        <v>165</v>
      </c>
      <c r="M120" s="1049" t="s">
        <v>144</v>
      </c>
      <c r="N120" s="1049"/>
      <c r="O120" s="1044">
        <f>O100+O112</f>
        <v>1.9820000000000001E-2</v>
      </c>
      <c r="P120" s="1044">
        <f>P100+P112</f>
        <v>1.9999999999999998E-4</v>
      </c>
    </row>
    <row r="121" spans="1:18" ht="14.1" customHeight="1" x14ac:dyDescent="0.25">
      <c r="A121" s="1471"/>
      <c r="B121" s="1472"/>
      <c r="C121" s="1472"/>
      <c r="D121" s="1472"/>
      <c r="E121" s="1472"/>
      <c r="F121" s="1472"/>
      <c r="G121" s="1472"/>
      <c r="H121" s="1472"/>
      <c r="I121" s="1472"/>
      <c r="J121" s="1472"/>
      <c r="K121" s="1473"/>
      <c r="L121" s="1040" t="s">
        <v>1239</v>
      </c>
      <c r="M121" s="1041" t="s">
        <v>153</v>
      </c>
      <c r="N121" s="1041"/>
      <c r="O121" s="1044">
        <f>O101+O113</f>
        <v>2.5050000000000003E-2</v>
      </c>
      <c r="P121" s="1044">
        <f>P101+P113</f>
        <v>2.5000000000000001E-4</v>
      </c>
      <c r="Q121" s="2">
        <f>SUM(O114:O121)</f>
        <v>0.49120999999999998</v>
      </c>
      <c r="R121" s="2">
        <f>SUM(P114:P121)</f>
        <v>1.8492000000000001E-2</v>
      </c>
    </row>
  </sheetData>
  <mergeCells count="59">
    <mergeCell ref="A114:K121"/>
    <mergeCell ref="A1:P1"/>
    <mergeCell ref="A2:A3"/>
    <mergeCell ref="B2:B3"/>
    <mergeCell ref="C2:C3"/>
    <mergeCell ref="D2:D3"/>
    <mergeCell ref="E2:E3"/>
    <mergeCell ref="F2:G2"/>
    <mergeCell ref="H2:I2"/>
    <mergeCell ref="J2:J3"/>
    <mergeCell ref="K2:K3"/>
    <mergeCell ref="A7:P7"/>
    <mergeCell ref="B8:B14"/>
    <mergeCell ref="C8:C14"/>
    <mergeCell ref="A5:P5"/>
    <mergeCell ref="N2:N3"/>
    <mergeCell ref="L2:L3"/>
    <mergeCell ref="M2:M3"/>
    <mergeCell ref="O2:P2"/>
    <mergeCell ref="A6:P6"/>
    <mergeCell ref="B15:B17"/>
    <mergeCell ref="C15:C17"/>
    <mergeCell ref="B18:B22"/>
    <mergeCell ref="C18:C22"/>
    <mergeCell ref="B47:B51"/>
    <mergeCell ref="C47:C51"/>
    <mergeCell ref="B44:B46"/>
    <mergeCell ref="C44:C46"/>
    <mergeCell ref="A36:P36"/>
    <mergeCell ref="B37:B43"/>
    <mergeCell ref="C37:C43"/>
    <mergeCell ref="B76:B80"/>
    <mergeCell ref="C76:C80"/>
    <mergeCell ref="B23:B26"/>
    <mergeCell ref="C23:C26"/>
    <mergeCell ref="B52:B55"/>
    <mergeCell ref="C52:C55"/>
    <mergeCell ref="C73:C75"/>
    <mergeCell ref="A35:P35"/>
    <mergeCell ref="A27:K34"/>
    <mergeCell ref="A56:K63"/>
    <mergeCell ref="B73:B75"/>
    <mergeCell ref="A64:P64"/>
    <mergeCell ref="A65:P65"/>
    <mergeCell ref="B66:B72"/>
    <mergeCell ref="C66:C72"/>
    <mergeCell ref="B110:B113"/>
    <mergeCell ref="C110:C113"/>
    <mergeCell ref="B81:B84"/>
    <mergeCell ref="C81:C84"/>
    <mergeCell ref="B105:B109"/>
    <mergeCell ref="C105:C109"/>
    <mergeCell ref="B102:B104"/>
    <mergeCell ref="C102:C104"/>
    <mergeCell ref="A93:P93"/>
    <mergeCell ref="A94:P94"/>
    <mergeCell ref="B95:B101"/>
    <mergeCell ref="C95:C101"/>
    <mergeCell ref="A85:K92"/>
  </mergeCells>
  <pageMargins left="0.59055118110236227" right="0.59055118110236227" top="0.78740157480314965" bottom="0.59055118110236227" header="0.31496062992125984" footer="0.31496062992125984"/>
  <pageSetup paperSize="9" firstPageNumber="95" orientation="landscape" useFirstPageNumber="1" r:id="rId1"/>
  <headerFoot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40E0F-5534-4E07-8121-FD80B12026A2}">
  <sheetPr>
    <tabColor theme="0"/>
  </sheetPr>
  <dimension ref="A1:N112"/>
  <sheetViews>
    <sheetView view="pageBreakPreview" topLeftCell="A89" zoomScale="85" zoomScaleNormal="100" zoomScaleSheetLayoutView="85" workbookViewId="0">
      <selection activeCell="F113" sqref="F113"/>
    </sheetView>
  </sheetViews>
  <sheetFormatPr defaultRowHeight="15" x14ac:dyDescent="0.25"/>
  <cols>
    <col min="2" max="2" width="22.5703125" customWidth="1"/>
    <col min="3" max="3" width="7.85546875" customWidth="1"/>
    <col min="4" max="4" width="14" customWidth="1"/>
    <col min="5" max="5" width="15.5703125" customWidth="1"/>
    <col min="6" max="6" width="28" customWidth="1"/>
    <col min="8" max="8" width="13.28515625" customWidth="1"/>
    <col min="9" max="9" width="13.42578125" customWidth="1"/>
    <col min="10" max="10" width="18.28515625" style="3" customWidth="1"/>
    <col min="11" max="11" width="16.28515625" style="3" customWidth="1"/>
    <col min="12" max="13" width="9.140625" style="3"/>
  </cols>
  <sheetData>
    <row r="1" spans="1:14" s="52" customFormat="1" ht="18.75" customHeight="1" x14ac:dyDescent="0.3">
      <c r="A1" s="1111" t="s">
        <v>977</v>
      </c>
      <c r="B1" s="1111"/>
      <c r="C1" s="1111"/>
      <c r="D1" s="1111"/>
      <c r="E1" s="1111"/>
      <c r="F1" s="1111"/>
      <c r="G1" s="1111"/>
      <c r="H1" s="1111"/>
      <c r="I1" s="1111"/>
      <c r="J1" s="887"/>
      <c r="K1" s="842"/>
      <c r="L1" s="842"/>
      <c r="M1" s="842"/>
    </row>
    <row r="2" spans="1:14" s="52" customFormat="1" ht="13.5" customHeight="1" x14ac:dyDescent="0.3">
      <c r="A2" s="76"/>
      <c r="B2" s="76"/>
      <c r="C2" s="76"/>
      <c r="D2" s="76"/>
      <c r="E2" s="76"/>
      <c r="F2" s="76"/>
      <c r="G2" s="76"/>
      <c r="H2" s="76"/>
      <c r="I2" s="76"/>
      <c r="J2" s="913"/>
      <c r="K2" s="842"/>
      <c r="L2" s="842"/>
      <c r="M2" s="842"/>
    </row>
    <row r="3" spans="1:14" s="73" customFormat="1" ht="14.25" customHeight="1" x14ac:dyDescent="0.25">
      <c r="A3" s="1439" t="s">
        <v>611</v>
      </c>
      <c r="B3" s="1439"/>
      <c r="C3" s="1439"/>
      <c r="D3" s="1439"/>
      <c r="E3" s="1439"/>
      <c r="F3" s="1439"/>
      <c r="G3" s="1439"/>
      <c r="H3" s="1439"/>
      <c r="I3" s="1439"/>
      <c r="J3" s="1439"/>
      <c r="K3" s="1439"/>
      <c r="L3" s="1439"/>
      <c r="M3" s="1439"/>
      <c r="N3" s="1439"/>
    </row>
    <row r="4" spans="1:14" s="73" customFormat="1" ht="18.75" customHeight="1" x14ac:dyDescent="0.25">
      <c r="A4" s="1507" t="s">
        <v>822</v>
      </c>
      <c r="B4" s="1507"/>
      <c r="C4" s="1507"/>
      <c r="D4" s="1507"/>
      <c r="E4" s="1507"/>
      <c r="F4" s="1507"/>
      <c r="G4" s="1507"/>
      <c r="H4" s="1507"/>
      <c r="I4" s="1507"/>
      <c r="J4" s="1507"/>
      <c r="K4" s="916"/>
      <c r="L4" s="916"/>
      <c r="M4" s="916"/>
    </row>
    <row r="5" spans="1:14" s="77" customFormat="1" ht="18.75" x14ac:dyDescent="0.3">
      <c r="J5" s="863"/>
      <c r="K5" s="863"/>
      <c r="L5" s="863"/>
      <c r="M5" s="863"/>
    </row>
    <row r="6" spans="1:14" s="77" customFormat="1" ht="18.75" x14ac:dyDescent="0.3">
      <c r="A6" s="1508" t="s">
        <v>823</v>
      </c>
      <c r="B6" s="1508"/>
      <c r="C6" s="1508"/>
      <c r="D6" s="1508"/>
      <c r="E6" s="1508"/>
      <c r="F6" s="1508"/>
      <c r="G6" s="1508"/>
      <c r="H6" s="1508"/>
      <c r="I6" s="1508"/>
      <c r="J6" s="1508"/>
      <c r="K6" s="863"/>
      <c r="L6" s="863"/>
      <c r="M6" s="863"/>
    </row>
    <row r="7" spans="1:14" s="77" customFormat="1" ht="11.25" customHeight="1" x14ac:dyDescent="0.3">
      <c r="J7" s="863"/>
      <c r="K7" s="863"/>
      <c r="L7" s="863"/>
      <c r="M7" s="863"/>
    </row>
    <row r="8" spans="1:14" s="77" customFormat="1" ht="18.75" x14ac:dyDescent="0.3">
      <c r="A8" s="1111" t="s">
        <v>824</v>
      </c>
      <c r="B8" s="1111"/>
      <c r="C8" s="1111"/>
      <c r="D8" s="1111"/>
      <c r="E8" s="1111"/>
      <c r="F8" s="1111"/>
      <c r="G8" s="1111"/>
      <c r="H8" s="1111"/>
      <c r="I8" s="1111"/>
      <c r="J8" s="1111"/>
      <c r="K8" s="863"/>
      <c r="L8" s="863"/>
      <c r="M8" s="863"/>
    </row>
    <row r="9" spans="1:14" s="77" customFormat="1" ht="13.5" customHeight="1" x14ac:dyDescent="0.3">
      <c r="J9" s="863"/>
      <c r="K9" s="863"/>
      <c r="L9" s="863"/>
      <c r="M9" s="863"/>
    </row>
    <row r="10" spans="1:14" s="77" customFormat="1" ht="18.75" x14ac:dyDescent="0.3">
      <c r="A10" s="1508" t="s">
        <v>825</v>
      </c>
      <c r="B10" s="1508"/>
      <c r="C10" s="1508"/>
      <c r="D10" s="1508"/>
      <c r="E10" s="1508"/>
      <c r="F10" s="1508"/>
      <c r="G10" s="1508"/>
      <c r="H10" s="1508"/>
      <c r="I10" s="1508"/>
      <c r="J10" s="1508"/>
      <c r="K10" s="863"/>
      <c r="L10" s="863"/>
      <c r="M10" s="863"/>
    </row>
    <row r="11" spans="1:14" s="77" customFormat="1" ht="11.25" customHeight="1" x14ac:dyDescent="0.3">
      <c r="J11" s="863"/>
      <c r="K11" s="863"/>
      <c r="L11" s="863"/>
      <c r="M11" s="863"/>
    </row>
    <row r="12" spans="1:14" s="77" customFormat="1" ht="18.75" x14ac:dyDescent="0.3">
      <c r="A12" s="1111" t="s">
        <v>826</v>
      </c>
      <c r="B12" s="1111"/>
      <c r="C12" s="1111"/>
      <c r="D12" s="1111"/>
      <c r="E12" s="1111"/>
      <c r="F12" s="1111"/>
      <c r="G12" s="1111"/>
      <c r="H12" s="1111"/>
      <c r="I12" s="1111"/>
      <c r="J12" s="1111"/>
      <c r="K12" s="863"/>
      <c r="L12" s="863"/>
      <c r="M12" s="863"/>
    </row>
    <row r="13" spans="1:14" s="77" customFormat="1" ht="12.75" customHeight="1" x14ac:dyDescent="0.3">
      <c r="A13" s="76"/>
      <c r="B13" s="76"/>
      <c r="C13" s="76"/>
      <c r="D13" s="76"/>
      <c r="E13" s="76"/>
      <c r="F13" s="76"/>
      <c r="G13" s="76"/>
      <c r="H13" s="76"/>
      <c r="I13" s="76"/>
      <c r="J13" s="913"/>
      <c r="K13" s="863"/>
      <c r="L13" s="863"/>
      <c r="M13" s="863"/>
    </row>
    <row r="14" spans="1:14" s="78" customFormat="1" ht="12" customHeight="1" x14ac:dyDescent="0.25">
      <c r="A14" s="208" t="s">
        <v>816</v>
      </c>
      <c r="B14" s="209"/>
      <c r="C14" s="209"/>
      <c r="D14" s="209"/>
      <c r="E14" s="209"/>
      <c r="F14" s="209"/>
      <c r="G14" s="209"/>
      <c r="H14" s="209"/>
      <c r="I14" s="209"/>
      <c r="J14" s="926"/>
      <c r="K14" s="926"/>
      <c r="L14" s="926"/>
      <c r="M14" s="926"/>
      <c r="N14" s="79"/>
    </row>
    <row r="15" spans="1:14" s="77" customFormat="1" ht="18.75" x14ac:dyDescent="0.3">
      <c r="A15" s="1125" t="s">
        <v>827</v>
      </c>
      <c r="B15" s="1125"/>
      <c r="C15" s="1125"/>
      <c r="D15" s="1125"/>
      <c r="E15" s="1125"/>
      <c r="F15" s="1125"/>
      <c r="G15" s="1125"/>
      <c r="H15" s="1125"/>
      <c r="I15" s="1125"/>
      <c r="J15" s="1125"/>
      <c r="K15" s="863"/>
      <c r="L15" s="863"/>
      <c r="M15" s="863"/>
    </row>
    <row r="16" spans="1:14" s="77" customFormat="1" ht="18.75" x14ac:dyDescent="0.3">
      <c r="A16" s="1125" t="s">
        <v>828</v>
      </c>
      <c r="B16" s="1125"/>
      <c r="C16" s="1125"/>
      <c r="D16" s="1125"/>
      <c r="E16" s="1125"/>
      <c r="F16" s="1125"/>
      <c r="G16" s="1125"/>
      <c r="H16" s="1125"/>
      <c r="I16" s="1125"/>
      <c r="J16" s="1125"/>
      <c r="K16" s="863"/>
      <c r="L16" s="863"/>
      <c r="M16" s="863"/>
    </row>
    <row r="17" spans="1:13" s="77" customFormat="1" ht="21" customHeight="1" x14ac:dyDescent="0.3">
      <c r="A17" s="1508" t="s">
        <v>829</v>
      </c>
      <c r="B17" s="1508"/>
      <c r="C17" s="1508"/>
      <c r="D17" s="1508"/>
      <c r="E17" s="1508"/>
      <c r="F17" s="1508"/>
      <c r="G17" s="1508"/>
      <c r="H17" s="1508"/>
      <c r="I17" s="1508"/>
      <c r="J17" s="863"/>
      <c r="K17" s="863"/>
      <c r="L17" s="863"/>
      <c r="M17" s="863"/>
    </row>
    <row r="18" spans="1:13" s="77" customFormat="1" ht="10.5" customHeight="1" x14ac:dyDescent="0.3">
      <c r="J18" s="863"/>
      <c r="K18" s="863"/>
      <c r="L18" s="863"/>
      <c r="M18" s="863"/>
    </row>
    <row r="19" spans="1:13" s="77" customFormat="1" ht="21.75" customHeight="1" x14ac:dyDescent="0.3">
      <c r="A19" s="1508" t="s">
        <v>830</v>
      </c>
      <c r="B19" s="1508"/>
      <c r="C19" s="1508"/>
      <c r="D19" s="1508"/>
      <c r="E19" s="1508"/>
      <c r="F19" s="1508"/>
      <c r="G19" s="1508"/>
      <c r="H19" s="1508"/>
      <c r="I19" s="1508"/>
      <c r="J19" s="863"/>
      <c r="K19" s="863"/>
      <c r="L19" s="863"/>
      <c r="M19" s="863"/>
    </row>
    <row r="20" spans="1:13" s="52" customFormat="1" ht="26.25" customHeight="1" x14ac:dyDescent="0.3">
      <c r="A20" s="1509" t="s">
        <v>831</v>
      </c>
      <c r="B20" s="1509"/>
      <c r="C20" s="1509"/>
      <c r="D20" s="1509"/>
      <c r="E20" s="1509"/>
      <c r="F20" s="1509"/>
      <c r="G20" s="1509"/>
      <c r="H20" s="1509"/>
      <c r="I20" s="1509"/>
      <c r="J20" s="842"/>
      <c r="K20" s="842"/>
      <c r="L20" s="842"/>
      <c r="M20" s="842"/>
    </row>
    <row r="21" spans="1:13" s="52" customFormat="1" ht="15" customHeight="1" x14ac:dyDescent="0.25">
      <c r="A21" s="1295" t="s">
        <v>0</v>
      </c>
      <c r="B21" s="1295" t="s">
        <v>154</v>
      </c>
      <c r="C21" s="1295" t="s">
        <v>53</v>
      </c>
      <c r="D21" s="1295" t="s">
        <v>155</v>
      </c>
      <c r="E21" s="1295" t="s">
        <v>156</v>
      </c>
      <c r="F21" s="1295" t="s">
        <v>56</v>
      </c>
      <c r="G21" s="1295" t="s">
        <v>42</v>
      </c>
      <c r="H21" s="1295" t="s">
        <v>57</v>
      </c>
      <c r="I21" s="1295"/>
      <c r="J21" s="842"/>
      <c r="K21" s="842"/>
      <c r="L21" s="842"/>
      <c r="M21" s="842"/>
    </row>
    <row r="22" spans="1:13" s="52" customFormat="1" ht="10.5" customHeight="1" x14ac:dyDescent="0.25">
      <c r="A22" s="1295"/>
      <c r="B22" s="1295"/>
      <c r="C22" s="1295"/>
      <c r="D22" s="1295"/>
      <c r="E22" s="1295"/>
      <c r="F22" s="1295"/>
      <c r="G22" s="1295"/>
      <c r="H22" s="1295"/>
      <c r="I22" s="1295"/>
      <c r="J22" s="842"/>
      <c r="K22" s="842"/>
      <c r="L22" s="842"/>
      <c r="M22" s="842"/>
    </row>
    <row r="23" spans="1:13" s="52" customFormat="1" ht="9.75" customHeight="1" x14ac:dyDescent="0.25">
      <c r="A23" s="1295"/>
      <c r="B23" s="1295"/>
      <c r="C23" s="1295"/>
      <c r="D23" s="1295"/>
      <c r="E23" s="1295"/>
      <c r="F23" s="1295"/>
      <c r="G23" s="1295"/>
      <c r="H23" s="8" t="s">
        <v>46</v>
      </c>
      <c r="I23" s="8" t="s">
        <v>45</v>
      </c>
      <c r="J23" s="842"/>
      <c r="K23" s="842"/>
      <c r="L23" s="842"/>
      <c r="M23" s="842"/>
    </row>
    <row r="24" spans="1:13" s="52" customFormat="1" ht="12.75" customHeight="1" x14ac:dyDescent="0.25">
      <c r="A24" s="8">
        <v>1</v>
      </c>
      <c r="B24" s="8">
        <v>2</v>
      </c>
      <c r="C24" s="8">
        <v>3</v>
      </c>
      <c r="D24" s="8">
        <v>4</v>
      </c>
      <c r="E24" s="8">
        <v>5</v>
      </c>
      <c r="F24" s="8">
        <v>6</v>
      </c>
      <c r="G24" s="8">
        <v>7</v>
      </c>
      <c r="H24" s="8">
        <v>8</v>
      </c>
      <c r="I24" s="8">
        <v>9</v>
      </c>
      <c r="J24" s="842"/>
      <c r="K24" s="842"/>
      <c r="L24" s="842"/>
      <c r="M24" s="842"/>
    </row>
    <row r="25" spans="1:13" ht="15.95" customHeight="1" x14ac:dyDescent="0.25">
      <c r="A25" s="1425" t="s">
        <v>367</v>
      </c>
      <c r="B25" s="1425"/>
      <c r="C25" s="1425"/>
      <c r="D25" s="1425"/>
      <c r="E25" s="1425"/>
      <c r="F25" s="1425"/>
      <c r="G25" s="1425"/>
      <c r="H25" s="1425"/>
      <c r="I25" s="1425"/>
    </row>
    <row r="26" spans="1:13" ht="15.95" customHeight="1" x14ac:dyDescent="0.25">
      <c r="A26" s="1494" t="s">
        <v>5</v>
      </c>
      <c r="B26" s="1494"/>
      <c r="C26" s="1494"/>
      <c r="D26" s="1494"/>
      <c r="E26" s="1494"/>
      <c r="F26" s="1494"/>
      <c r="G26" s="1494"/>
      <c r="H26" s="1494"/>
      <c r="I26" s="1494"/>
    </row>
    <row r="27" spans="1:13" ht="15.95" customHeight="1" x14ac:dyDescent="0.25">
      <c r="A27" s="1411" t="s">
        <v>264</v>
      </c>
      <c r="B27" s="1411"/>
      <c r="C27" s="1411"/>
      <c r="D27" s="1411"/>
      <c r="E27" s="1411"/>
      <c r="F27" s="1411"/>
      <c r="G27" s="1411"/>
      <c r="H27" s="1411"/>
      <c r="I27" s="1411"/>
    </row>
    <row r="28" spans="1:13" s="770" customFormat="1" ht="15.95" customHeight="1" x14ac:dyDescent="0.25">
      <c r="A28" s="1486">
        <v>708102</v>
      </c>
      <c r="B28" s="1213" t="s">
        <v>160</v>
      </c>
      <c r="C28" s="1491">
        <v>360</v>
      </c>
      <c r="D28" s="328">
        <v>8.9999999999999993E-3</v>
      </c>
      <c r="E28" s="1491">
        <v>382.5</v>
      </c>
      <c r="F28" s="29" t="s">
        <v>157</v>
      </c>
      <c r="G28" s="769" t="s">
        <v>153</v>
      </c>
      <c r="H28" s="328">
        <f>ROUND(I28*1000000/(C28*3600),7)</f>
        <v>2.7E-6</v>
      </c>
      <c r="I28" s="328">
        <f>ROUND(D28*E28/1000000,8)</f>
        <v>3.4400000000000001E-6</v>
      </c>
      <c r="J28" s="927"/>
      <c r="K28" s="927"/>
      <c r="L28" s="927"/>
      <c r="M28" s="927"/>
    </row>
    <row r="29" spans="1:13" s="770" customFormat="1" ht="15.95" customHeight="1" x14ac:dyDescent="0.25">
      <c r="A29" s="1490"/>
      <c r="B29" s="1213"/>
      <c r="C29" s="1491"/>
      <c r="D29" s="328">
        <v>3.8999999999999998E-3</v>
      </c>
      <c r="E29" s="1491"/>
      <c r="F29" s="29" t="s">
        <v>158</v>
      </c>
      <c r="G29" s="769" t="s">
        <v>159</v>
      </c>
      <c r="H29" s="328">
        <f>ROUND(I29*1000000/(C28*3600),7)</f>
        <v>1.1000000000000001E-6</v>
      </c>
      <c r="I29" s="328">
        <f>ROUND(D29*E28/1000000,8)</f>
        <v>1.4899999999999999E-6</v>
      </c>
      <c r="J29" s="928">
        <f>SUM(H28:H29)</f>
        <v>3.8E-6</v>
      </c>
      <c r="K29" s="928">
        <f>SUM(I28:I29)</f>
        <v>4.9300000000000002E-6</v>
      </c>
      <c r="L29" s="927"/>
      <c r="M29" s="927"/>
    </row>
    <row r="30" spans="1:13" s="771" customFormat="1" ht="15.95" customHeight="1" x14ac:dyDescent="0.25">
      <c r="A30" s="1489" t="s">
        <v>276</v>
      </c>
      <c r="B30" s="1489"/>
      <c r="C30" s="1489"/>
      <c r="D30" s="1489"/>
      <c r="E30" s="1489"/>
      <c r="F30" s="1489"/>
      <c r="G30" s="1489"/>
      <c r="H30" s="1489"/>
      <c r="I30" s="1489"/>
      <c r="J30" s="928"/>
      <c r="K30" s="928"/>
      <c r="L30" s="928"/>
      <c r="M30" s="928"/>
    </row>
    <row r="31" spans="1:13" s="771" customFormat="1" ht="15.95" customHeight="1" x14ac:dyDescent="0.25">
      <c r="A31" s="1485">
        <v>708702</v>
      </c>
      <c r="B31" s="1213" t="s">
        <v>160</v>
      </c>
      <c r="C31" s="1491">
        <v>1080</v>
      </c>
      <c r="D31" s="328">
        <v>8.9999999999999993E-3</v>
      </c>
      <c r="E31" s="1491">
        <v>955.3</v>
      </c>
      <c r="F31" s="29" t="s">
        <v>157</v>
      </c>
      <c r="G31" s="769" t="s">
        <v>153</v>
      </c>
      <c r="H31" s="328">
        <f>ROUND(I31*1000000/(C31*3600),7)</f>
        <v>2.2000000000000001E-6</v>
      </c>
      <c r="I31" s="328">
        <f>ROUND(D31*E31/1000000,8)</f>
        <v>8.6000000000000007E-6</v>
      </c>
      <c r="J31" s="928"/>
      <c r="K31" s="928"/>
      <c r="L31" s="928"/>
      <c r="M31" s="928"/>
    </row>
    <row r="32" spans="1:13" s="771" customFormat="1" ht="15.95" customHeight="1" x14ac:dyDescent="0.25">
      <c r="A32" s="1486"/>
      <c r="B32" s="1213"/>
      <c r="C32" s="1491"/>
      <c r="D32" s="328">
        <v>3.8999999999999998E-3</v>
      </c>
      <c r="E32" s="1491"/>
      <c r="F32" s="29" t="s">
        <v>158</v>
      </c>
      <c r="G32" s="769" t="s">
        <v>159</v>
      </c>
      <c r="H32" s="328">
        <f>ROUND(I32*1000000/(C31*3600),7)</f>
        <v>9.9999999999999995E-7</v>
      </c>
      <c r="I32" s="328">
        <f>ROUND(D32*E31/1000000,8)</f>
        <v>3.7299999999999999E-6</v>
      </c>
      <c r="J32" s="928"/>
      <c r="K32" s="928"/>
      <c r="L32" s="928"/>
      <c r="M32" s="928"/>
    </row>
    <row r="33" spans="1:13" s="771" customFormat="1" ht="15.95" customHeight="1" x14ac:dyDescent="0.25">
      <c r="A33" s="1487"/>
      <c r="B33" s="1213" t="s">
        <v>283</v>
      </c>
      <c r="C33" s="1491">
        <v>12</v>
      </c>
      <c r="D33" s="328">
        <v>8.9999999999999993E-3</v>
      </c>
      <c r="E33" s="1491">
        <v>15</v>
      </c>
      <c r="F33" s="29" t="s">
        <v>157</v>
      </c>
      <c r="G33" s="769" t="s">
        <v>153</v>
      </c>
      <c r="H33" s="328">
        <f>ROUND(I33*1000000/(C33*3600),7)</f>
        <v>3.1999999999999999E-6</v>
      </c>
      <c r="I33" s="328">
        <f>ROUND(D33*E33/1000000,8)</f>
        <v>1.4000000000000001E-7</v>
      </c>
      <c r="J33" s="928"/>
      <c r="K33" s="928"/>
      <c r="L33" s="928"/>
      <c r="M33" s="928"/>
    </row>
    <row r="34" spans="1:13" s="771" customFormat="1" ht="15.95" customHeight="1" x14ac:dyDescent="0.25">
      <c r="A34" s="1488"/>
      <c r="B34" s="1213"/>
      <c r="C34" s="1491"/>
      <c r="D34" s="328">
        <v>3.8999999999999998E-3</v>
      </c>
      <c r="E34" s="1491"/>
      <c r="F34" s="29" t="s">
        <v>158</v>
      </c>
      <c r="G34" s="769" t="s">
        <v>159</v>
      </c>
      <c r="H34" s="328">
        <f>ROUND(I34*1000000/(C33*3600),7)</f>
        <v>1.3999999999999999E-6</v>
      </c>
      <c r="I34" s="328">
        <f>ROUND(D34*E33/1000000,8)</f>
        <v>5.9999999999999995E-8</v>
      </c>
      <c r="J34" s="928"/>
      <c r="K34" s="928"/>
      <c r="L34" s="928"/>
      <c r="M34" s="928"/>
    </row>
    <row r="35" spans="1:13" s="770" customFormat="1" ht="15.95" customHeight="1" x14ac:dyDescent="0.25">
      <c r="A35" s="1495" t="s">
        <v>912</v>
      </c>
      <c r="B35" s="1496"/>
      <c r="C35" s="1496"/>
      <c r="D35" s="1496"/>
      <c r="E35" s="1497"/>
      <c r="F35" s="329" t="s">
        <v>157</v>
      </c>
      <c r="G35" s="772" t="s">
        <v>153</v>
      </c>
      <c r="H35" s="567">
        <f>H31+H33</f>
        <v>5.4E-6</v>
      </c>
      <c r="I35" s="567">
        <f>I31+I33</f>
        <v>8.740000000000001E-6</v>
      </c>
      <c r="J35" s="928"/>
      <c r="K35" s="928"/>
      <c r="L35" s="927"/>
      <c r="M35" s="927"/>
    </row>
    <row r="36" spans="1:13" s="770" customFormat="1" ht="15.95" customHeight="1" x14ac:dyDescent="0.25">
      <c r="A36" s="1498"/>
      <c r="B36" s="1499"/>
      <c r="C36" s="1499"/>
      <c r="D36" s="1499"/>
      <c r="E36" s="1500"/>
      <c r="F36" s="329" t="s">
        <v>158</v>
      </c>
      <c r="G36" s="772" t="s">
        <v>159</v>
      </c>
      <c r="H36" s="567">
        <f>H32+H34</f>
        <v>2.3999999999999999E-6</v>
      </c>
      <c r="I36" s="567">
        <f>I32+I34</f>
        <v>3.7899999999999997E-6</v>
      </c>
      <c r="J36" s="928">
        <f>SUM(H35:H36)</f>
        <v>7.7999999999999999E-6</v>
      </c>
      <c r="K36" s="928">
        <f>SUM(I35:I36)</f>
        <v>1.253E-5</v>
      </c>
      <c r="L36" s="927"/>
      <c r="M36" s="927"/>
    </row>
    <row r="37" spans="1:13" s="771" customFormat="1" ht="15.95" customHeight="1" x14ac:dyDescent="0.25">
      <c r="A37" s="1489" t="s">
        <v>284</v>
      </c>
      <c r="B37" s="1489"/>
      <c r="C37" s="1489"/>
      <c r="D37" s="1489"/>
      <c r="E37" s="1489"/>
      <c r="F37" s="1489"/>
      <c r="G37" s="1489"/>
      <c r="H37" s="1489"/>
      <c r="I37" s="1489"/>
      <c r="J37" s="928"/>
      <c r="K37" s="928"/>
      <c r="L37" s="928"/>
      <c r="M37" s="928"/>
    </row>
    <row r="38" spans="1:13" s="770" customFormat="1" ht="15.95" customHeight="1" x14ac:dyDescent="0.25">
      <c r="A38" s="1486">
        <v>709402</v>
      </c>
      <c r="B38" s="1213" t="s">
        <v>160</v>
      </c>
      <c r="C38" s="1491">
        <v>720</v>
      </c>
      <c r="D38" s="328">
        <v>8.9999999999999993E-3</v>
      </c>
      <c r="E38" s="1491">
        <v>28.6</v>
      </c>
      <c r="F38" s="29" t="s">
        <v>157</v>
      </c>
      <c r="G38" s="769" t="s">
        <v>153</v>
      </c>
      <c r="H38" s="328">
        <f>ROUND(I38*1000000/(C38*3600),7)</f>
        <v>9.9999999999999995E-8</v>
      </c>
      <c r="I38" s="328">
        <f>ROUND(D38*E38/1000000,8)</f>
        <v>2.6E-7</v>
      </c>
      <c r="J38" s="928"/>
      <c r="K38" s="928"/>
      <c r="L38" s="927"/>
      <c r="M38" s="927"/>
    </row>
    <row r="39" spans="1:13" s="770" customFormat="1" ht="15.95" customHeight="1" x14ac:dyDescent="0.25">
      <c r="A39" s="1490"/>
      <c r="B39" s="1213"/>
      <c r="C39" s="1491"/>
      <c r="D39" s="328">
        <v>3.8999999999999998E-3</v>
      </c>
      <c r="E39" s="1491"/>
      <c r="F39" s="29" t="s">
        <v>158</v>
      </c>
      <c r="G39" s="769" t="s">
        <v>159</v>
      </c>
      <c r="H39" s="328">
        <f>ROUND(I39*1000000/(C38*3600),8)</f>
        <v>4.0000000000000001E-8</v>
      </c>
      <c r="I39" s="328">
        <f>ROUND(D39*E38/1000000,8)</f>
        <v>1.1000000000000001E-7</v>
      </c>
      <c r="J39" s="928">
        <f>SUM(H38:H39)</f>
        <v>1.3999999999999998E-7</v>
      </c>
      <c r="K39" s="928">
        <f>SUM(I38:I39)</f>
        <v>3.7E-7</v>
      </c>
      <c r="L39" s="927"/>
      <c r="M39" s="927"/>
    </row>
    <row r="40" spans="1:13" s="771" customFormat="1" ht="15.95" customHeight="1" x14ac:dyDescent="0.25">
      <c r="A40" s="1489" t="s">
        <v>286</v>
      </c>
      <c r="B40" s="1489"/>
      <c r="C40" s="1489"/>
      <c r="D40" s="1489"/>
      <c r="E40" s="1489"/>
      <c r="F40" s="1489"/>
      <c r="G40" s="1489"/>
      <c r="H40" s="1489"/>
      <c r="I40" s="1489"/>
      <c r="J40" s="928"/>
      <c r="K40" s="928"/>
      <c r="L40" s="928"/>
      <c r="M40" s="928"/>
    </row>
    <row r="41" spans="1:13" s="770" customFormat="1" ht="15.95" customHeight="1" x14ac:dyDescent="0.25">
      <c r="A41" s="1486">
        <v>709902</v>
      </c>
      <c r="B41" s="1213" t="s">
        <v>160</v>
      </c>
      <c r="C41" s="1491">
        <v>180</v>
      </c>
      <c r="D41" s="328">
        <v>8.9999999999999993E-3</v>
      </c>
      <c r="E41" s="1491">
        <v>70.3</v>
      </c>
      <c r="F41" s="29" t="s">
        <v>157</v>
      </c>
      <c r="G41" s="769" t="s">
        <v>153</v>
      </c>
      <c r="H41" s="328">
        <f>ROUND(I41*1000000/(C41*3600),7)</f>
        <v>9.9999999999999995E-7</v>
      </c>
      <c r="I41" s="328">
        <f>ROUND(D41*E41/1000000,8)</f>
        <v>6.3E-7</v>
      </c>
      <c r="J41" s="928"/>
      <c r="K41" s="928"/>
      <c r="L41" s="927"/>
      <c r="M41" s="927"/>
    </row>
    <row r="42" spans="1:13" s="770" customFormat="1" ht="15.95" customHeight="1" x14ac:dyDescent="0.25">
      <c r="A42" s="1490"/>
      <c r="B42" s="1213"/>
      <c r="C42" s="1491"/>
      <c r="D42" s="328">
        <v>3.8999999999999998E-3</v>
      </c>
      <c r="E42" s="1491"/>
      <c r="F42" s="29" t="s">
        <v>158</v>
      </c>
      <c r="G42" s="769" t="s">
        <v>159</v>
      </c>
      <c r="H42" s="328">
        <f>ROUND(I42*1000000/(C41*3600),8)</f>
        <v>4.2E-7</v>
      </c>
      <c r="I42" s="328">
        <f>ROUND(D42*E41/1000000,8)</f>
        <v>2.7000000000000001E-7</v>
      </c>
      <c r="J42" s="928">
        <f>SUM(H41:H42)</f>
        <v>1.42E-6</v>
      </c>
      <c r="K42" s="928">
        <f>SUM(I41:I42)</f>
        <v>9.0000000000000007E-7</v>
      </c>
      <c r="L42" s="929"/>
      <c r="M42" s="927"/>
    </row>
    <row r="43" spans="1:13" s="771" customFormat="1" ht="15.95" customHeight="1" x14ac:dyDescent="0.25">
      <c r="A43" s="1503" t="s">
        <v>11</v>
      </c>
      <c r="B43" s="1503"/>
      <c r="C43" s="1503"/>
      <c r="D43" s="1503"/>
      <c r="E43" s="1503"/>
      <c r="F43" s="1503"/>
      <c r="G43" s="1503"/>
      <c r="H43" s="1503"/>
      <c r="I43" s="1503"/>
      <c r="J43" s="930">
        <f>SUM(J28:J42)</f>
        <v>1.3160000000000001E-5</v>
      </c>
      <c r="K43" s="931">
        <f>SUM(K28:K42)</f>
        <v>1.8730000000000002E-5</v>
      </c>
      <c r="L43" s="931">
        <v>2026</v>
      </c>
      <c r="M43" s="928"/>
    </row>
    <row r="44" spans="1:13" s="771" customFormat="1" ht="15.95" customHeight="1" x14ac:dyDescent="0.25">
      <c r="A44" s="1489" t="s">
        <v>8</v>
      </c>
      <c r="B44" s="1489"/>
      <c r="C44" s="1489"/>
      <c r="D44" s="1489"/>
      <c r="E44" s="1489"/>
      <c r="F44" s="1489"/>
      <c r="G44" s="1489"/>
      <c r="H44" s="1489"/>
      <c r="I44" s="1489"/>
      <c r="J44" s="928"/>
      <c r="K44" s="928"/>
      <c r="L44" s="928"/>
      <c r="M44" s="928"/>
    </row>
    <row r="45" spans="1:13" s="771" customFormat="1" ht="15.95" customHeight="1" x14ac:dyDescent="0.25">
      <c r="A45" s="1486">
        <v>700603</v>
      </c>
      <c r="B45" s="1213" t="s">
        <v>160</v>
      </c>
      <c r="C45" s="1491">
        <v>96</v>
      </c>
      <c r="D45" s="328">
        <v>8.9999999999999993E-3</v>
      </c>
      <c r="E45" s="1491">
        <v>4.4000000000000004</v>
      </c>
      <c r="F45" s="29" t="s">
        <v>157</v>
      </c>
      <c r="G45" s="769" t="s">
        <v>153</v>
      </c>
      <c r="H45" s="328">
        <f>ROUND(I45*1000000/(C45*3600),7)</f>
        <v>9.9999999999999995E-8</v>
      </c>
      <c r="I45" s="328">
        <f>ROUND(D45*E45/1000000,8)</f>
        <v>4.0000000000000001E-8</v>
      </c>
      <c r="J45" s="928"/>
      <c r="K45" s="928"/>
      <c r="L45" s="928"/>
      <c r="M45" s="928"/>
    </row>
    <row r="46" spans="1:13" s="771" customFormat="1" ht="15.95" customHeight="1" x14ac:dyDescent="0.25">
      <c r="A46" s="1490"/>
      <c r="B46" s="1213"/>
      <c r="C46" s="1491"/>
      <c r="D46" s="328">
        <v>3.8999999999999998E-3</v>
      </c>
      <c r="E46" s="1491"/>
      <c r="F46" s="29" t="s">
        <v>158</v>
      </c>
      <c r="G46" s="769" t="s">
        <v>159</v>
      </c>
      <c r="H46" s="328">
        <f>ROUND(I46*1000000/(C45*3600),7)</f>
        <v>9.9999999999999995E-8</v>
      </c>
      <c r="I46" s="328">
        <f>ROUND(D46*E45/1000000,8)</f>
        <v>2E-8</v>
      </c>
      <c r="J46" s="928">
        <f>SUM(H45:H46)</f>
        <v>1.9999999999999999E-7</v>
      </c>
      <c r="K46" s="928">
        <f>SUM(I45:I46)</f>
        <v>6.0000000000000008E-8</v>
      </c>
      <c r="L46" s="928"/>
      <c r="M46" s="928"/>
    </row>
    <row r="47" spans="1:13" s="771" customFormat="1" ht="15.95" customHeight="1" x14ac:dyDescent="0.25">
      <c r="A47" s="1489" t="s">
        <v>244</v>
      </c>
      <c r="B47" s="1489"/>
      <c r="C47" s="1489"/>
      <c r="D47" s="1489"/>
      <c r="E47" s="1489"/>
      <c r="F47" s="1489"/>
      <c r="G47" s="1489"/>
      <c r="H47" s="1489"/>
      <c r="I47" s="1489"/>
      <c r="J47" s="928"/>
      <c r="K47" s="928"/>
      <c r="L47" s="928"/>
      <c r="M47" s="928"/>
    </row>
    <row r="48" spans="1:13" s="771" customFormat="1" ht="15.95" customHeight="1" x14ac:dyDescent="0.25">
      <c r="A48" s="1486">
        <v>705102</v>
      </c>
      <c r="B48" s="1213" t="s">
        <v>160</v>
      </c>
      <c r="C48" s="1491">
        <v>1440</v>
      </c>
      <c r="D48" s="328">
        <v>8.9999999999999993E-3</v>
      </c>
      <c r="E48" s="1491">
        <v>1314.5</v>
      </c>
      <c r="F48" s="29" t="s">
        <v>157</v>
      </c>
      <c r="G48" s="769" t="s">
        <v>153</v>
      </c>
      <c r="H48" s="328">
        <f>ROUND(I48*1000000/(C48*3600),7)</f>
        <v>2.3E-6</v>
      </c>
      <c r="I48" s="328">
        <f>ROUND(D48*E48/1000000,8)</f>
        <v>1.183E-5</v>
      </c>
      <c r="J48" s="928"/>
      <c r="K48" s="928"/>
      <c r="L48" s="928"/>
      <c r="M48" s="928"/>
    </row>
    <row r="49" spans="1:13" s="771" customFormat="1" ht="15.95" customHeight="1" x14ac:dyDescent="0.25">
      <c r="A49" s="1490"/>
      <c r="B49" s="1213"/>
      <c r="C49" s="1491"/>
      <c r="D49" s="328">
        <v>3.8999999999999998E-3</v>
      </c>
      <c r="E49" s="1491"/>
      <c r="F49" s="29" t="s">
        <v>158</v>
      </c>
      <c r="G49" s="769" t="s">
        <v>159</v>
      </c>
      <c r="H49" s="328">
        <f>ROUND(I49*1000000/(C48*3600),7)</f>
        <v>9.9999999999999995E-7</v>
      </c>
      <c r="I49" s="328">
        <f>ROUND(D49*E48/1000000,8)</f>
        <v>5.13E-6</v>
      </c>
      <c r="J49" s="928">
        <f>SUM(H48:H49)</f>
        <v>3.2999999999999997E-6</v>
      </c>
      <c r="K49" s="928">
        <f>SUM(I48:I49)</f>
        <v>1.696E-5</v>
      </c>
      <c r="L49" s="927"/>
      <c r="M49" s="928"/>
    </row>
    <row r="50" spans="1:13" s="771" customFormat="1" ht="15.95" customHeight="1" x14ac:dyDescent="0.25">
      <c r="A50" s="1501" t="s">
        <v>257</v>
      </c>
      <c r="B50" s="1501"/>
      <c r="C50" s="1501"/>
      <c r="D50" s="1501"/>
      <c r="E50" s="1501"/>
      <c r="F50" s="1501"/>
      <c r="G50" s="1501"/>
      <c r="H50" s="1501"/>
      <c r="I50" s="1501"/>
      <c r="J50" s="928"/>
      <c r="K50" s="928"/>
      <c r="L50" s="927"/>
      <c r="M50" s="928"/>
    </row>
    <row r="51" spans="1:13" s="770" customFormat="1" ht="15.95" customHeight="1" x14ac:dyDescent="0.25">
      <c r="A51" s="1504">
        <v>706302</v>
      </c>
      <c r="B51" s="1492" t="s">
        <v>160</v>
      </c>
      <c r="C51" s="1493">
        <v>360</v>
      </c>
      <c r="D51" s="308">
        <v>8.9999999999999993E-3</v>
      </c>
      <c r="E51" s="1493">
        <v>48</v>
      </c>
      <c r="F51" s="309" t="s">
        <v>157</v>
      </c>
      <c r="G51" s="773" t="s">
        <v>153</v>
      </c>
      <c r="H51" s="308">
        <f>ROUND(I51*1000000/(C51*3600),7)</f>
        <v>2.9999999999999999E-7</v>
      </c>
      <c r="I51" s="308">
        <f>ROUND(D51*E51/1000000,8)</f>
        <v>4.3000000000000001E-7</v>
      </c>
      <c r="J51" s="927"/>
      <c r="K51" s="927"/>
      <c r="L51" s="928"/>
      <c r="M51" s="927"/>
    </row>
    <row r="52" spans="1:13" s="770" customFormat="1" ht="15.95" customHeight="1" x14ac:dyDescent="0.25">
      <c r="A52" s="1505"/>
      <c r="B52" s="1492"/>
      <c r="C52" s="1493"/>
      <c r="D52" s="308">
        <v>3.8999999999999998E-3</v>
      </c>
      <c r="E52" s="1493"/>
      <c r="F52" s="309" t="s">
        <v>158</v>
      </c>
      <c r="G52" s="773" t="s">
        <v>159</v>
      </c>
      <c r="H52" s="308">
        <f>ROUND(I52*1000000/(C51*3600),7)</f>
        <v>9.9999999999999995E-8</v>
      </c>
      <c r="I52" s="308">
        <f>ROUND(D52*E51/1000000,8)</f>
        <v>1.9000000000000001E-7</v>
      </c>
      <c r="J52" s="928">
        <f>SUM(H51:H52)</f>
        <v>3.9999999999999998E-7</v>
      </c>
      <c r="K52" s="928">
        <f>SUM(I51:I52)</f>
        <v>6.1999999999999999E-7</v>
      </c>
      <c r="L52" s="927"/>
      <c r="M52" s="927"/>
    </row>
    <row r="53" spans="1:13" s="771" customFormat="1" ht="15.95" customHeight="1" x14ac:dyDescent="0.25">
      <c r="A53" s="1489" t="s">
        <v>260</v>
      </c>
      <c r="B53" s="1489"/>
      <c r="C53" s="1489"/>
      <c r="D53" s="1489"/>
      <c r="E53" s="1489"/>
      <c r="F53" s="1489"/>
      <c r="G53" s="1489"/>
      <c r="H53" s="1489"/>
      <c r="I53" s="1489"/>
      <c r="J53" s="928"/>
      <c r="K53" s="928"/>
      <c r="L53" s="927"/>
      <c r="M53" s="928"/>
    </row>
    <row r="54" spans="1:13" s="771" customFormat="1" ht="15.95" customHeight="1" x14ac:dyDescent="0.25">
      <c r="A54" s="1486">
        <v>706902</v>
      </c>
      <c r="B54" s="1213" t="s">
        <v>160</v>
      </c>
      <c r="C54" s="1491">
        <v>180</v>
      </c>
      <c r="D54" s="328">
        <v>8.9999999999999993E-3</v>
      </c>
      <c r="E54" s="1491">
        <v>70.3</v>
      </c>
      <c r="F54" s="29" t="s">
        <v>157</v>
      </c>
      <c r="G54" s="769" t="s">
        <v>153</v>
      </c>
      <c r="H54" s="328">
        <f>ROUND(I54*1000000/(C54*3600),7)</f>
        <v>9.9999999999999995E-7</v>
      </c>
      <c r="I54" s="328">
        <f>ROUND(D54*E54/1000000,8)</f>
        <v>6.3E-7</v>
      </c>
      <c r="J54" s="932"/>
      <c r="K54" s="928"/>
      <c r="L54" s="928"/>
      <c r="M54" s="928"/>
    </row>
    <row r="55" spans="1:13" s="771" customFormat="1" ht="15.95" customHeight="1" x14ac:dyDescent="0.25">
      <c r="A55" s="1490"/>
      <c r="B55" s="1213"/>
      <c r="C55" s="1491"/>
      <c r="D55" s="328">
        <v>3.8999999999999998E-3</v>
      </c>
      <c r="E55" s="1491"/>
      <c r="F55" s="29" t="s">
        <v>158</v>
      </c>
      <c r="G55" s="769" t="s">
        <v>159</v>
      </c>
      <c r="H55" s="328">
        <f>ROUND(I55*1000000/(C54*3600),7)</f>
        <v>3.9999999999999998E-7</v>
      </c>
      <c r="I55" s="328">
        <f>ROUND(D55*E54/1000000,8)</f>
        <v>2.7000000000000001E-7</v>
      </c>
      <c r="J55" s="928">
        <f>SUM(H54:H55)</f>
        <v>1.3999999999999999E-6</v>
      </c>
      <c r="K55" s="928">
        <f>SUM(I54:I55)</f>
        <v>9.0000000000000007E-7</v>
      </c>
      <c r="L55" s="927"/>
      <c r="M55" s="928"/>
    </row>
    <row r="56" spans="1:13" s="771" customFormat="1" ht="15.95" customHeight="1" x14ac:dyDescent="0.25">
      <c r="A56" s="1489" t="s">
        <v>264</v>
      </c>
      <c r="B56" s="1489"/>
      <c r="C56" s="1489"/>
      <c r="D56" s="1489"/>
      <c r="E56" s="1489"/>
      <c r="F56" s="1489"/>
      <c r="G56" s="1489"/>
      <c r="H56" s="1489"/>
      <c r="I56" s="1489"/>
      <c r="J56" s="928"/>
      <c r="K56" s="928"/>
      <c r="L56" s="927"/>
      <c r="M56" s="928"/>
    </row>
    <row r="57" spans="1:13" s="771" customFormat="1" ht="15.95" customHeight="1" x14ac:dyDescent="0.25">
      <c r="A57" s="1486">
        <v>708102</v>
      </c>
      <c r="B57" s="1213" t="s">
        <v>160</v>
      </c>
      <c r="C57" s="1491">
        <v>288</v>
      </c>
      <c r="D57" s="328">
        <v>8.9999999999999993E-3</v>
      </c>
      <c r="E57" s="1491">
        <v>2009.8</v>
      </c>
      <c r="F57" s="29" t="s">
        <v>157</v>
      </c>
      <c r="G57" s="769" t="s">
        <v>153</v>
      </c>
      <c r="H57" s="328">
        <f>ROUND(I57*1000000/(C57*3600),7)</f>
        <v>1.7399999999999999E-5</v>
      </c>
      <c r="I57" s="328">
        <f>ROUND(D57*E57/1000000,8)</f>
        <v>1.8090000000000001E-5</v>
      </c>
      <c r="J57" s="928"/>
      <c r="K57" s="928"/>
      <c r="L57" s="928"/>
      <c r="M57" s="928"/>
    </row>
    <row r="58" spans="1:13" s="771" customFormat="1" ht="15.95" customHeight="1" x14ac:dyDescent="0.25">
      <c r="A58" s="1490"/>
      <c r="B58" s="1213"/>
      <c r="C58" s="1491"/>
      <c r="D58" s="328">
        <v>3.8999999999999998E-3</v>
      </c>
      <c r="E58" s="1491"/>
      <c r="F58" s="29" t="s">
        <v>158</v>
      </c>
      <c r="G58" s="769" t="s">
        <v>159</v>
      </c>
      <c r="H58" s="328">
        <f>ROUND(I58*1000000/(C57*3600),7)</f>
        <v>7.6000000000000001E-6</v>
      </c>
      <c r="I58" s="328">
        <f>ROUND(D58*E57/1000000,8)</f>
        <v>7.8399999999999995E-6</v>
      </c>
      <c r="J58" s="928">
        <f>SUM(H57:H58)</f>
        <v>2.4999999999999998E-5</v>
      </c>
      <c r="K58" s="928">
        <f>SUM(I57:I58)</f>
        <v>2.5930000000000001E-5</v>
      </c>
      <c r="L58" s="928"/>
      <c r="M58" s="928"/>
    </row>
    <row r="59" spans="1:13" s="771" customFormat="1" ht="15.95" customHeight="1" x14ac:dyDescent="0.25">
      <c r="A59" s="1489" t="s">
        <v>276</v>
      </c>
      <c r="B59" s="1489"/>
      <c r="C59" s="1489"/>
      <c r="D59" s="1489"/>
      <c r="E59" s="1489"/>
      <c r="F59" s="1489"/>
      <c r="G59" s="1489"/>
      <c r="H59" s="1489"/>
      <c r="I59" s="1489"/>
      <c r="J59" s="928"/>
      <c r="K59" s="928"/>
      <c r="L59" s="928"/>
      <c r="M59" s="928"/>
    </row>
    <row r="60" spans="1:13" s="771" customFormat="1" ht="15.95" customHeight="1" x14ac:dyDescent="0.25">
      <c r="A60" s="1486">
        <v>708702</v>
      </c>
      <c r="B60" s="1213" t="s">
        <v>283</v>
      </c>
      <c r="C60" s="1491">
        <v>8</v>
      </c>
      <c r="D60" s="328">
        <v>8.9999999999999993E-3</v>
      </c>
      <c r="E60" s="1491">
        <v>10</v>
      </c>
      <c r="F60" s="29" t="s">
        <v>157</v>
      </c>
      <c r="G60" s="769" t="s">
        <v>153</v>
      </c>
      <c r="H60" s="328">
        <f>ROUND(I60*1000000/(C60*3600),7)</f>
        <v>3.1E-6</v>
      </c>
      <c r="I60" s="328">
        <f>ROUND(D60*E60/1000000,8)</f>
        <v>8.9999999999999999E-8</v>
      </c>
      <c r="J60" s="928"/>
      <c r="K60" s="928"/>
      <c r="L60" s="928"/>
      <c r="M60" s="928"/>
    </row>
    <row r="61" spans="1:13" s="771" customFormat="1" ht="15.95" customHeight="1" x14ac:dyDescent="0.25">
      <c r="A61" s="1490"/>
      <c r="B61" s="1213"/>
      <c r="C61" s="1491"/>
      <c r="D61" s="328">
        <v>3.8999999999999998E-3</v>
      </c>
      <c r="E61" s="1491"/>
      <c r="F61" s="29" t="s">
        <v>158</v>
      </c>
      <c r="G61" s="769" t="s">
        <v>159</v>
      </c>
      <c r="H61" s="328">
        <f>ROUND(I61*1000000/(C60*3600),7)</f>
        <v>1.3999999999999999E-6</v>
      </c>
      <c r="I61" s="328">
        <f>ROUND(D61*E60/1000000,8)</f>
        <v>4.0000000000000001E-8</v>
      </c>
      <c r="J61" s="928">
        <f>SUM(H60:H61)</f>
        <v>4.5000000000000001E-6</v>
      </c>
      <c r="K61" s="928">
        <f>SUM(I60:I61)</f>
        <v>1.3E-7</v>
      </c>
      <c r="L61" s="928"/>
      <c r="M61" s="928"/>
    </row>
    <row r="62" spans="1:13" s="771" customFormat="1" ht="15.95" customHeight="1" x14ac:dyDescent="0.25">
      <c r="A62" s="1489" t="s">
        <v>284</v>
      </c>
      <c r="B62" s="1489"/>
      <c r="C62" s="1489"/>
      <c r="D62" s="1489"/>
      <c r="E62" s="1489"/>
      <c r="F62" s="1489"/>
      <c r="G62" s="1489"/>
      <c r="H62" s="1489"/>
      <c r="I62" s="1489"/>
      <c r="J62" s="928"/>
      <c r="K62" s="928"/>
      <c r="L62" s="928"/>
      <c r="M62" s="928"/>
    </row>
    <row r="63" spans="1:13" s="771" customFormat="1" ht="15.95" customHeight="1" x14ac:dyDescent="0.25">
      <c r="A63" s="1486">
        <v>709402</v>
      </c>
      <c r="B63" s="1213" t="s">
        <v>160</v>
      </c>
      <c r="C63" s="1491">
        <v>672</v>
      </c>
      <c r="D63" s="328">
        <v>8.9999999999999993E-3</v>
      </c>
      <c r="E63" s="1491">
        <v>1506.3</v>
      </c>
      <c r="F63" s="29" t="s">
        <v>157</v>
      </c>
      <c r="G63" s="769" t="s">
        <v>153</v>
      </c>
      <c r="H63" s="328">
        <f>ROUND(I63*1000000/(C63*3600),7)</f>
        <v>5.5999999999999997E-6</v>
      </c>
      <c r="I63" s="328">
        <f>ROUND(D63*E63/1000000,8)</f>
        <v>1.3560000000000001E-5</v>
      </c>
      <c r="J63" s="928"/>
      <c r="K63" s="928"/>
      <c r="L63" s="928"/>
      <c r="M63" s="928"/>
    </row>
    <row r="64" spans="1:13" s="771" customFormat="1" ht="15.95" customHeight="1" x14ac:dyDescent="0.25">
      <c r="A64" s="1490"/>
      <c r="B64" s="1213"/>
      <c r="C64" s="1491"/>
      <c r="D64" s="328">
        <v>3.8999999999999998E-3</v>
      </c>
      <c r="E64" s="1491"/>
      <c r="F64" s="29" t="s">
        <v>158</v>
      </c>
      <c r="G64" s="769" t="s">
        <v>159</v>
      </c>
      <c r="H64" s="328">
        <f>ROUND(I64*1000000/(C63*3600),8)</f>
        <v>2.43E-6</v>
      </c>
      <c r="I64" s="328">
        <f>ROUND(D64*E63/1000000,8)</f>
        <v>5.8699999999999997E-6</v>
      </c>
      <c r="J64" s="928">
        <f>SUM(H63:H64)</f>
        <v>8.0299999999999994E-6</v>
      </c>
      <c r="K64" s="928">
        <f>SUM(I63:I64)</f>
        <v>1.9430000000000002E-5</v>
      </c>
      <c r="L64" s="928"/>
      <c r="M64" s="928"/>
    </row>
    <row r="65" spans="1:13" s="771" customFormat="1" ht="15.95" customHeight="1" x14ac:dyDescent="0.25">
      <c r="A65" s="1489" t="s">
        <v>288</v>
      </c>
      <c r="B65" s="1489"/>
      <c r="C65" s="1489"/>
      <c r="D65" s="1489"/>
      <c r="E65" s="1489"/>
      <c r="F65" s="1489"/>
      <c r="G65" s="1489"/>
      <c r="H65" s="1489"/>
      <c r="I65" s="1489"/>
      <c r="J65" s="928"/>
      <c r="K65" s="928"/>
      <c r="L65" s="928"/>
      <c r="M65" s="928"/>
    </row>
    <row r="66" spans="1:13" s="771" customFormat="1" ht="15.95" customHeight="1" x14ac:dyDescent="0.25">
      <c r="A66" s="1485">
        <v>710502</v>
      </c>
      <c r="B66" s="1213" t="s">
        <v>160</v>
      </c>
      <c r="C66" s="1491">
        <v>180</v>
      </c>
      <c r="D66" s="328">
        <v>8.9999999999999993E-3</v>
      </c>
      <c r="E66" s="1491">
        <v>71.400000000000006</v>
      </c>
      <c r="F66" s="29" t="s">
        <v>157</v>
      </c>
      <c r="G66" s="769" t="s">
        <v>153</v>
      </c>
      <c r="H66" s="328">
        <f>ROUND(I66*1000000/(C66*3600),7)</f>
        <v>9.9999999999999995E-7</v>
      </c>
      <c r="I66" s="328">
        <f>ROUND(D66*E66/1000000,8)</f>
        <v>6.4000000000000001E-7</v>
      </c>
      <c r="J66" s="928"/>
      <c r="K66" s="928"/>
      <c r="L66" s="928"/>
      <c r="M66" s="928"/>
    </row>
    <row r="67" spans="1:13" s="771" customFormat="1" ht="15.95" customHeight="1" x14ac:dyDescent="0.25">
      <c r="A67" s="1490"/>
      <c r="B67" s="1213"/>
      <c r="C67" s="1491"/>
      <c r="D67" s="328">
        <v>3.8999999999999998E-3</v>
      </c>
      <c r="E67" s="1491"/>
      <c r="F67" s="29" t="s">
        <v>158</v>
      </c>
      <c r="G67" s="769" t="s">
        <v>159</v>
      </c>
      <c r="H67" s="328">
        <f>ROUND(I67*1000000/(C66*3600),8)</f>
        <v>4.3000000000000001E-7</v>
      </c>
      <c r="I67" s="328">
        <f>ROUND(D67*E66/1000000,8)</f>
        <v>2.8000000000000002E-7</v>
      </c>
      <c r="J67" s="928">
        <f>SUM(H66:H67)</f>
        <v>1.4299999999999999E-6</v>
      </c>
      <c r="K67" s="928">
        <f>SUM(I66:I67)</f>
        <v>9.2000000000000009E-7</v>
      </c>
      <c r="L67" s="933"/>
      <c r="M67" s="928"/>
    </row>
    <row r="68" spans="1:13" s="771" customFormat="1" ht="15.95" customHeight="1" x14ac:dyDescent="0.25">
      <c r="A68" s="1502" t="s">
        <v>291</v>
      </c>
      <c r="B68" s="1502"/>
      <c r="C68" s="1502"/>
      <c r="D68" s="1502"/>
      <c r="E68" s="1502"/>
      <c r="F68" s="1502"/>
      <c r="G68" s="1502"/>
      <c r="H68" s="1502"/>
      <c r="I68" s="1502"/>
      <c r="J68" s="928"/>
      <c r="K68" s="928"/>
      <c r="L68" s="933"/>
      <c r="M68" s="928"/>
    </row>
    <row r="69" spans="1:13" s="771" customFormat="1" ht="15.95" customHeight="1" x14ac:dyDescent="0.25">
      <c r="A69" s="1486">
        <v>711102</v>
      </c>
      <c r="B69" s="1213" t="s">
        <v>160</v>
      </c>
      <c r="C69" s="1491">
        <v>330</v>
      </c>
      <c r="D69" s="328">
        <v>8.9999999999999993E-3</v>
      </c>
      <c r="E69" s="1491">
        <v>289</v>
      </c>
      <c r="F69" s="29" t="s">
        <v>157</v>
      </c>
      <c r="G69" s="769" t="s">
        <v>153</v>
      </c>
      <c r="H69" s="328">
        <f>ROUND(I69*1000000/(C69*3600),7)</f>
        <v>2.2000000000000001E-6</v>
      </c>
      <c r="I69" s="328">
        <f>ROUND(D69*E69/1000000,8)</f>
        <v>2.6000000000000001E-6</v>
      </c>
      <c r="J69" s="928"/>
      <c r="K69" s="928"/>
      <c r="L69" s="933"/>
      <c r="M69" s="928"/>
    </row>
    <row r="70" spans="1:13" s="771" customFormat="1" ht="15.95" customHeight="1" x14ac:dyDescent="0.25">
      <c r="A70" s="1490"/>
      <c r="B70" s="1213"/>
      <c r="C70" s="1491"/>
      <c r="D70" s="328">
        <v>3.8999999999999998E-3</v>
      </c>
      <c r="E70" s="1491"/>
      <c r="F70" s="29" t="s">
        <v>158</v>
      </c>
      <c r="G70" s="769" t="s">
        <v>159</v>
      </c>
      <c r="H70" s="328">
        <f>ROUND(I70*1000000/(C69*3600),7)</f>
        <v>9.9999999999999995E-7</v>
      </c>
      <c r="I70" s="328">
        <f>ROUND(D70*E69/1000000,8)</f>
        <v>1.13E-6</v>
      </c>
      <c r="J70" s="928">
        <f>SUM(H69:H70)</f>
        <v>3.1999999999999999E-6</v>
      </c>
      <c r="K70" s="928">
        <f>SUM(I69:I70)</f>
        <v>3.7299999999999999E-6</v>
      </c>
      <c r="L70" s="933"/>
      <c r="M70" s="928"/>
    </row>
    <row r="71" spans="1:13" s="771" customFormat="1" ht="15.95" customHeight="1" x14ac:dyDescent="0.25">
      <c r="A71" s="1506" t="s">
        <v>60</v>
      </c>
      <c r="B71" s="1506"/>
      <c r="C71" s="1506"/>
      <c r="D71" s="1506"/>
      <c r="E71" s="1506"/>
      <c r="F71" s="1506"/>
      <c r="G71" s="1506"/>
      <c r="H71" s="1506"/>
      <c r="I71" s="1506"/>
      <c r="J71" s="930">
        <f>SUM(J46:J70)</f>
        <v>4.7459999999999996E-5</v>
      </c>
      <c r="K71" s="931">
        <f>SUM(K46:K70)</f>
        <v>6.868E-5</v>
      </c>
      <c r="L71" s="934">
        <v>2027</v>
      </c>
      <c r="M71" s="928"/>
    </row>
    <row r="72" spans="1:13" s="771" customFormat="1" ht="15.95" customHeight="1" x14ac:dyDescent="0.25">
      <c r="A72" s="1489" t="s">
        <v>8</v>
      </c>
      <c r="B72" s="1489"/>
      <c r="C72" s="1489"/>
      <c r="D72" s="1489"/>
      <c r="E72" s="1489"/>
      <c r="F72" s="1489"/>
      <c r="G72" s="1489"/>
      <c r="H72" s="1489"/>
      <c r="I72" s="1489"/>
      <c r="J72" s="928"/>
      <c r="K72" s="928"/>
      <c r="L72" s="928"/>
      <c r="M72" s="928"/>
    </row>
    <row r="73" spans="1:13" s="771" customFormat="1" ht="15.95" customHeight="1" x14ac:dyDescent="0.25">
      <c r="A73" s="1486">
        <v>700603</v>
      </c>
      <c r="B73" s="1213" t="s">
        <v>160</v>
      </c>
      <c r="C73" s="1491">
        <v>288</v>
      </c>
      <c r="D73" s="328">
        <v>8.9999999999999993E-3</v>
      </c>
      <c r="E73" s="1491">
        <v>63.5</v>
      </c>
      <c r="F73" s="29" t="s">
        <v>157</v>
      </c>
      <c r="G73" s="769" t="s">
        <v>153</v>
      </c>
      <c r="H73" s="328">
        <f>ROUND(I73*1000000/(C73*3600),7)</f>
        <v>9.9999999999999995E-7</v>
      </c>
      <c r="I73" s="328">
        <f>ROUND(D73*E73/1000000,6)</f>
        <v>9.9999999999999995E-7</v>
      </c>
      <c r="J73" s="928"/>
      <c r="K73" s="928"/>
      <c r="L73" s="928"/>
      <c r="M73" s="928"/>
    </row>
    <row r="74" spans="1:13" s="771" customFormat="1" ht="15.95" customHeight="1" x14ac:dyDescent="0.25">
      <c r="A74" s="1490"/>
      <c r="B74" s="1213"/>
      <c r="C74" s="1491"/>
      <c r="D74" s="328">
        <v>3.8999999999999998E-3</v>
      </c>
      <c r="E74" s="1491"/>
      <c r="F74" s="29" t="s">
        <v>158</v>
      </c>
      <c r="G74" s="769" t="s">
        <v>159</v>
      </c>
      <c r="H74" s="328">
        <f>ROUND(I74*1000000/(C73*3600),7)</f>
        <v>1.9999999999999999E-7</v>
      </c>
      <c r="I74" s="328">
        <f>ROUND(D74*E73/1000000,7)</f>
        <v>1.9999999999999999E-7</v>
      </c>
      <c r="J74" s="928">
        <f>SUM(H73:H74)</f>
        <v>1.1999999999999999E-6</v>
      </c>
      <c r="K74" s="928">
        <f>SUM(I73:I74)</f>
        <v>1.1999999999999999E-6</v>
      </c>
      <c r="L74" s="928"/>
      <c r="M74" s="928"/>
    </row>
    <row r="75" spans="1:13" s="771" customFormat="1" ht="15.95" customHeight="1" x14ac:dyDescent="0.25">
      <c r="A75" s="1489" t="s">
        <v>204</v>
      </c>
      <c r="B75" s="1489"/>
      <c r="C75" s="1489"/>
      <c r="D75" s="1489"/>
      <c r="E75" s="1489"/>
      <c r="F75" s="1489"/>
      <c r="G75" s="1489"/>
      <c r="H75" s="1489"/>
      <c r="I75" s="1489"/>
      <c r="J75" s="928"/>
      <c r="K75" s="928"/>
      <c r="L75" s="928"/>
      <c r="M75" s="928"/>
    </row>
    <row r="76" spans="1:13" s="771" customFormat="1" ht="15.95" customHeight="1" x14ac:dyDescent="0.25">
      <c r="A76" s="1486">
        <v>701202</v>
      </c>
      <c r="B76" s="1213" t="s">
        <v>160</v>
      </c>
      <c r="C76" s="1491">
        <v>360</v>
      </c>
      <c r="D76" s="328">
        <v>8.9999999999999993E-3</v>
      </c>
      <c r="E76" s="1491">
        <v>4.5</v>
      </c>
      <c r="F76" s="29" t="s">
        <v>157</v>
      </c>
      <c r="G76" s="769" t="s">
        <v>153</v>
      </c>
      <c r="H76" s="328">
        <f>ROUND(I76*1000000/(C76*3600),8)</f>
        <v>2.9999999999999997E-8</v>
      </c>
      <c r="I76" s="328">
        <f>ROUND(D76*E76/1000000,8)</f>
        <v>4.0000000000000001E-8</v>
      </c>
      <c r="J76" s="928"/>
      <c r="K76" s="928"/>
      <c r="L76" s="928"/>
      <c r="M76" s="928"/>
    </row>
    <row r="77" spans="1:13" s="771" customFormat="1" ht="15.95" customHeight="1" x14ac:dyDescent="0.25">
      <c r="A77" s="1490"/>
      <c r="B77" s="1213"/>
      <c r="C77" s="1491"/>
      <c r="D77" s="328">
        <v>3.8999999999999998E-3</v>
      </c>
      <c r="E77" s="1491"/>
      <c r="F77" s="29" t="s">
        <v>158</v>
      </c>
      <c r="G77" s="769" t="s">
        <v>159</v>
      </c>
      <c r="H77" s="328">
        <f>ROUND(I77*1000000/(C76*3600),8)</f>
        <v>2E-8</v>
      </c>
      <c r="I77" s="328">
        <f>ROUND(D77*E76/1000000,8)</f>
        <v>2E-8</v>
      </c>
      <c r="J77" s="928">
        <f>SUM(H76:H77)</f>
        <v>4.9999999999999998E-8</v>
      </c>
      <c r="K77" s="928">
        <f>SUM(I76:I77)</f>
        <v>6.0000000000000008E-8</v>
      </c>
      <c r="L77" s="928"/>
      <c r="M77" s="928"/>
    </row>
    <row r="78" spans="1:13" s="771" customFormat="1" ht="15.95" customHeight="1" x14ac:dyDescent="0.25">
      <c r="A78" s="1489" t="s">
        <v>215</v>
      </c>
      <c r="B78" s="1489"/>
      <c r="C78" s="1489"/>
      <c r="D78" s="1489"/>
      <c r="E78" s="1489"/>
      <c r="F78" s="1489"/>
      <c r="G78" s="1489"/>
      <c r="H78" s="1489"/>
      <c r="I78" s="1489"/>
      <c r="J78" s="928"/>
      <c r="K78" s="928"/>
      <c r="L78" s="928"/>
      <c r="M78" s="928"/>
    </row>
    <row r="79" spans="1:13" s="771" customFormat="1" ht="15.95" customHeight="1" x14ac:dyDescent="0.25">
      <c r="A79" s="1486">
        <v>702902</v>
      </c>
      <c r="B79" s="1213" t="s">
        <v>160</v>
      </c>
      <c r="C79" s="1491">
        <v>192</v>
      </c>
      <c r="D79" s="328">
        <v>8.9999999999999993E-3</v>
      </c>
      <c r="E79" s="1491">
        <v>243.7</v>
      </c>
      <c r="F79" s="29" t="s">
        <v>157</v>
      </c>
      <c r="G79" s="769" t="s">
        <v>153</v>
      </c>
      <c r="H79" s="328">
        <f>ROUND(I79*1000000/(C79*3600),8)</f>
        <v>3.1700000000000001E-6</v>
      </c>
      <c r="I79" s="328">
        <f>ROUND(D79*E79/1000000,8)</f>
        <v>2.1900000000000002E-6</v>
      </c>
      <c r="J79" s="928"/>
      <c r="K79" s="928"/>
      <c r="L79" s="928"/>
      <c r="M79" s="928"/>
    </row>
    <row r="80" spans="1:13" s="771" customFormat="1" ht="15.95" customHeight="1" x14ac:dyDescent="0.25">
      <c r="A80" s="1490"/>
      <c r="B80" s="1213"/>
      <c r="C80" s="1491"/>
      <c r="D80" s="328">
        <v>3.8999999999999998E-3</v>
      </c>
      <c r="E80" s="1491"/>
      <c r="F80" s="29" t="s">
        <v>158</v>
      </c>
      <c r="G80" s="769" t="s">
        <v>159</v>
      </c>
      <c r="H80" s="328">
        <f>ROUND(I80*1000000/(C79*3600),8)</f>
        <v>1.37E-6</v>
      </c>
      <c r="I80" s="328">
        <f>ROUND(D80*E79/1000000,8)</f>
        <v>9.5000000000000001E-7</v>
      </c>
      <c r="J80" s="928">
        <f>SUM(H79:H80)</f>
        <v>4.5400000000000006E-6</v>
      </c>
      <c r="K80" s="928">
        <f>SUM(I79:I80)</f>
        <v>3.1400000000000004E-6</v>
      </c>
      <c r="L80" s="928"/>
      <c r="M80" s="928"/>
    </row>
    <row r="81" spans="1:13" s="771" customFormat="1" ht="15.95" customHeight="1" x14ac:dyDescent="0.25">
      <c r="A81" s="1489" t="s">
        <v>232</v>
      </c>
      <c r="B81" s="1489"/>
      <c r="C81" s="1489"/>
      <c r="D81" s="1489"/>
      <c r="E81" s="1489"/>
      <c r="F81" s="1489"/>
      <c r="G81" s="1489"/>
      <c r="H81" s="1489"/>
      <c r="I81" s="1489"/>
      <c r="J81" s="928"/>
      <c r="K81" s="928"/>
      <c r="L81" s="928"/>
      <c r="M81" s="928"/>
    </row>
    <row r="82" spans="1:13" s="771" customFormat="1" ht="15.95" customHeight="1" x14ac:dyDescent="0.25">
      <c r="A82" s="1486">
        <v>703302</v>
      </c>
      <c r="B82" s="1213" t="s">
        <v>160</v>
      </c>
      <c r="C82" s="1491">
        <v>180</v>
      </c>
      <c r="D82" s="328">
        <v>8.9999999999999993E-3</v>
      </c>
      <c r="E82" s="1491">
        <v>5</v>
      </c>
      <c r="F82" s="29" t="s">
        <v>157</v>
      </c>
      <c r="G82" s="769" t="s">
        <v>153</v>
      </c>
      <c r="H82" s="328">
        <f>ROUND(I82*1000000/(C82*3600),8)</f>
        <v>8.0000000000000002E-8</v>
      </c>
      <c r="I82" s="328">
        <f>ROUND(D82*E82/1000000,8)</f>
        <v>4.9999999999999998E-8</v>
      </c>
      <c r="J82" s="928"/>
      <c r="K82" s="928"/>
      <c r="L82" s="928"/>
      <c r="M82" s="928"/>
    </row>
    <row r="83" spans="1:13" s="771" customFormat="1" ht="15.95" customHeight="1" x14ac:dyDescent="0.25">
      <c r="A83" s="1490"/>
      <c r="B83" s="1213"/>
      <c r="C83" s="1491"/>
      <c r="D83" s="328">
        <v>3.8999999999999998E-3</v>
      </c>
      <c r="E83" s="1491"/>
      <c r="F83" s="29" t="s">
        <v>158</v>
      </c>
      <c r="G83" s="769" t="s">
        <v>159</v>
      </c>
      <c r="H83" s="328">
        <f>ROUND(I83*1000000/(C82*3600),8)</f>
        <v>2.9999999999999997E-8</v>
      </c>
      <c r="I83" s="328">
        <f>ROUND(D83*E82/1000000,8)</f>
        <v>2E-8</v>
      </c>
      <c r="J83" s="928">
        <f>SUM(H82:H83)</f>
        <v>1.1000000000000001E-7</v>
      </c>
      <c r="K83" s="928">
        <f>SUM(I82:I83)</f>
        <v>6.9999999999999992E-8</v>
      </c>
      <c r="L83" s="928"/>
      <c r="M83" s="928"/>
    </row>
    <row r="84" spans="1:13" s="771" customFormat="1" ht="15.95" customHeight="1" x14ac:dyDescent="0.25">
      <c r="A84" s="1501" t="s">
        <v>233</v>
      </c>
      <c r="B84" s="1501"/>
      <c r="C84" s="1501"/>
      <c r="D84" s="1501"/>
      <c r="E84" s="1501"/>
      <c r="F84" s="1501"/>
      <c r="G84" s="1501"/>
      <c r="H84" s="1501"/>
      <c r="I84" s="1501"/>
      <c r="J84" s="928"/>
      <c r="K84" s="928"/>
      <c r="L84" s="928"/>
      <c r="M84" s="928"/>
    </row>
    <row r="85" spans="1:13" s="771" customFormat="1" ht="15.95" customHeight="1" x14ac:dyDescent="0.25">
      <c r="A85" s="1504">
        <v>704002</v>
      </c>
      <c r="B85" s="1492" t="s">
        <v>160</v>
      </c>
      <c r="C85" s="1493">
        <v>1080</v>
      </c>
      <c r="D85" s="308">
        <v>8.9999999999999993E-3</v>
      </c>
      <c r="E85" s="1493">
        <v>263.3</v>
      </c>
      <c r="F85" s="309" t="s">
        <v>157</v>
      </c>
      <c r="G85" s="773" t="s">
        <v>153</v>
      </c>
      <c r="H85" s="308">
        <f>ROUND(I85*1000000/(C85*3600),8)</f>
        <v>6.0999999999999998E-7</v>
      </c>
      <c r="I85" s="308">
        <f>ROUND(D85*E85/1000000,8)</f>
        <v>2.3700000000000002E-6</v>
      </c>
      <c r="J85" s="932"/>
      <c r="K85" s="928"/>
      <c r="L85" s="928"/>
      <c r="M85" s="928"/>
    </row>
    <row r="86" spans="1:13" s="771" customFormat="1" ht="15.95" customHeight="1" x14ac:dyDescent="0.25">
      <c r="A86" s="1505"/>
      <c r="B86" s="1492"/>
      <c r="C86" s="1493"/>
      <c r="D86" s="308">
        <v>3.8999999999999998E-3</v>
      </c>
      <c r="E86" s="1493"/>
      <c r="F86" s="309" t="s">
        <v>158</v>
      </c>
      <c r="G86" s="773" t="s">
        <v>159</v>
      </c>
      <c r="H86" s="308">
        <f>ROUND(I86*1000000/(C85*3600),8)</f>
        <v>2.6E-7</v>
      </c>
      <c r="I86" s="308">
        <f>ROUND(D86*E85/1000000,8)</f>
        <v>1.0300000000000001E-6</v>
      </c>
      <c r="J86" s="928">
        <f>SUM(H85:H86)</f>
        <v>8.6999999999999993E-7</v>
      </c>
      <c r="K86" s="928">
        <f>SUM(I85:I86)</f>
        <v>3.4000000000000005E-6</v>
      </c>
      <c r="L86" s="928"/>
      <c r="M86" s="928"/>
    </row>
    <row r="87" spans="1:13" s="771" customFormat="1" ht="15.95" customHeight="1" x14ac:dyDescent="0.25">
      <c r="A87" s="1501" t="s">
        <v>241</v>
      </c>
      <c r="B87" s="1501"/>
      <c r="C87" s="1501"/>
      <c r="D87" s="1501"/>
      <c r="E87" s="1501"/>
      <c r="F87" s="1501"/>
      <c r="G87" s="1501"/>
      <c r="H87" s="1501"/>
      <c r="I87" s="1501"/>
      <c r="J87" s="932"/>
      <c r="K87" s="928"/>
      <c r="L87" s="928"/>
      <c r="M87" s="928"/>
    </row>
    <row r="88" spans="1:13" s="771" customFormat="1" ht="15.95" customHeight="1" x14ac:dyDescent="0.25">
      <c r="A88" s="1504">
        <v>704502</v>
      </c>
      <c r="B88" s="1492" t="s">
        <v>160</v>
      </c>
      <c r="C88" s="1493">
        <v>180</v>
      </c>
      <c r="D88" s="308">
        <v>8.9999999999999993E-3</v>
      </c>
      <c r="E88" s="1493">
        <v>70.3</v>
      </c>
      <c r="F88" s="309" t="s">
        <v>157</v>
      </c>
      <c r="G88" s="773" t="s">
        <v>153</v>
      </c>
      <c r="H88" s="308">
        <f>ROUND(I88*1000000/(C88*3600),8)</f>
        <v>9.7000000000000003E-7</v>
      </c>
      <c r="I88" s="308">
        <f>ROUND(D88*E88/1000000,8)</f>
        <v>6.3E-7</v>
      </c>
      <c r="J88" s="932"/>
      <c r="K88" s="928"/>
      <c r="L88" s="928"/>
      <c r="M88" s="928"/>
    </row>
    <row r="89" spans="1:13" s="771" customFormat="1" ht="15.95" customHeight="1" x14ac:dyDescent="0.25">
      <c r="A89" s="1505"/>
      <c r="B89" s="1492"/>
      <c r="C89" s="1493"/>
      <c r="D89" s="308">
        <v>3.8999999999999998E-3</v>
      </c>
      <c r="E89" s="1493"/>
      <c r="F89" s="309" t="s">
        <v>158</v>
      </c>
      <c r="G89" s="773" t="s">
        <v>159</v>
      </c>
      <c r="H89" s="308">
        <f>ROUND(I89*1000000/(C88*3600),8)</f>
        <v>4.2E-7</v>
      </c>
      <c r="I89" s="308">
        <f>ROUND(D89*E88/1000000,8)</f>
        <v>2.7000000000000001E-7</v>
      </c>
      <c r="J89" s="928">
        <f>SUM(H88:H89)</f>
        <v>1.39E-6</v>
      </c>
      <c r="K89" s="928">
        <f>SUM(I88:I89)</f>
        <v>9.0000000000000007E-7</v>
      </c>
      <c r="L89" s="928"/>
      <c r="M89" s="928"/>
    </row>
    <row r="90" spans="1:13" s="771" customFormat="1" ht="15.95" customHeight="1" x14ac:dyDescent="0.25">
      <c r="A90" s="1489" t="s">
        <v>255</v>
      </c>
      <c r="B90" s="1489"/>
      <c r="C90" s="1489"/>
      <c r="D90" s="1489"/>
      <c r="E90" s="1489"/>
      <c r="F90" s="1489"/>
      <c r="G90" s="1489"/>
      <c r="H90" s="1489"/>
      <c r="I90" s="1489"/>
      <c r="J90" s="932"/>
      <c r="K90" s="928"/>
      <c r="L90" s="928"/>
      <c r="M90" s="928"/>
    </row>
    <row r="91" spans="1:13" s="771" customFormat="1" ht="15.95" customHeight="1" x14ac:dyDescent="0.25">
      <c r="A91" s="1486">
        <v>705702</v>
      </c>
      <c r="B91" s="1213" t="s">
        <v>160</v>
      </c>
      <c r="C91" s="1491">
        <v>360</v>
      </c>
      <c r="D91" s="328">
        <v>8.9999999999999993E-3</v>
      </c>
      <c r="E91" s="1491">
        <v>498.5</v>
      </c>
      <c r="F91" s="29" t="s">
        <v>157</v>
      </c>
      <c r="G91" s="769" t="s">
        <v>153</v>
      </c>
      <c r="H91" s="328">
        <f>ROUND(I91*1000000/(C91*3600),8)</f>
        <v>3.4599999999999999E-6</v>
      </c>
      <c r="I91" s="328">
        <f>ROUND(D91*E91/1000000,8)</f>
        <v>4.4900000000000002E-6</v>
      </c>
      <c r="J91" s="932"/>
      <c r="K91" s="932"/>
      <c r="L91" s="932"/>
      <c r="M91" s="928"/>
    </row>
    <row r="92" spans="1:13" s="771" customFormat="1" ht="15.95" customHeight="1" x14ac:dyDescent="0.25">
      <c r="A92" s="1490"/>
      <c r="B92" s="1213"/>
      <c r="C92" s="1491"/>
      <c r="D92" s="328">
        <v>3.8999999999999998E-3</v>
      </c>
      <c r="E92" s="1491"/>
      <c r="F92" s="29" t="s">
        <v>158</v>
      </c>
      <c r="G92" s="769" t="s">
        <v>159</v>
      </c>
      <c r="H92" s="328">
        <f>ROUND(I92*1000000/(C91*3600),8)</f>
        <v>1.5E-6</v>
      </c>
      <c r="I92" s="328">
        <f>ROUND(D92*E91/1000000,8)</f>
        <v>1.9400000000000001E-6</v>
      </c>
      <c r="J92" s="928">
        <f>SUM(H91:H92)</f>
        <v>4.9599999999999999E-6</v>
      </c>
      <c r="K92" s="928">
        <f>SUM(I91:I92)</f>
        <v>6.4300000000000003E-6</v>
      </c>
      <c r="L92" s="932"/>
      <c r="M92" s="928"/>
    </row>
    <row r="93" spans="1:13" s="771" customFormat="1" ht="15.95" customHeight="1" x14ac:dyDescent="0.25">
      <c r="A93" s="1501" t="s">
        <v>257</v>
      </c>
      <c r="B93" s="1501"/>
      <c r="C93" s="1501"/>
      <c r="D93" s="1501"/>
      <c r="E93" s="1501"/>
      <c r="F93" s="1501"/>
      <c r="G93" s="1501"/>
      <c r="H93" s="1501"/>
      <c r="I93" s="1501"/>
      <c r="J93" s="932"/>
      <c r="K93" s="928"/>
      <c r="L93" s="928"/>
      <c r="M93" s="928"/>
    </row>
    <row r="94" spans="1:13" s="771" customFormat="1" ht="15.95" customHeight="1" x14ac:dyDescent="0.25">
      <c r="A94" s="1504">
        <v>706302</v>
      </c>
      <c r="B94" s="1492" t="s">
        <v>160</v>
      </c>
      <c r="C94" s="1493">
        <v>720</v>
      </c>
      <c r="D94" s="308">
        <v>8.9999999999999993E-3</v>
      </c>
      <c r="E94" s="1493">
        <v>70.3</v>
      </c>
      <c r="F94" s="309" t="s">
        <v>157</v>
      </c>
      <c r="G94" s="773" t="s">
        <v>153</v>
      </c>
      <c r="H94" s="308">
        <f>ROUND(I94*1000000/(C94*3600),7)</f>
        <v>1.9999999999999999E-7</v>
      </c>
      <c r="I94" s="308">
        <f>ROUND(D94*E94/1000000,8)</f>
        <v>6.3E-7</v>
      </c>
      <c r="J94" s="932"/>
      <c r="K94" s="928"/>
      <c r="L94" s="928"/>
      <c r="M94" s="928"/>
    </row>
    <row r="95" spans="1:13" s="771" customFormat="1" ht="15.95" customHeight="1" x14ac:dyDescent="0.25">
      <c r="A95" s="1505"/>
      <c r="B95" s="1492"/>
      <c r="C95" s="1493"/>
      <c r="D95" s="308">
        <v>3.8999999999999998E-3</v>
      </c>
      <c r="E95" s="1493"/>
      <c r="F95" s="309" t="s">
        <v>158</v>
      </c>
      <c r="G95" s="773" t="s">
        <v>159</v>
      </c>
      <c r="H95" s="308">
        <f>ROUND(I95*1000000/(C94*3600),7)</f>
        <v>9.9999999999999995E-8</v>
      </c>
      <c r="I95" s="308">
        <f>ROUND(D95*E94/1000000,8)</f>
        <v>2.7000000000000001E-7</v>
      </c>
      <c r="J95" s="928">
        <f>SUM(H94:H95)</f>
        <v>2.9999999999999999E-7</v>
      </c>
      <c r="K95" s="928">
        <f>SUM(I94:I95)</f>
        <v>9.0000000000000007E-7</v>
      </c>
      <c r="L95" s="928"/>
      <c r="M95" s="928"/>
    </row>
    <row r="96" spans="1:13" s="771" customFormat="1" ht="15.95" customHeight="1" x14ac:dyDescent="0.25">
      <c r="A96" s="1489" t="s">
        <v>261</v>
      </c>
      <c r="B96" s="1489"/>
      <c r="C96" s="1489"/>
      <c r="D96" s="1489"/>
      <c r="E96" s="1489"/>
      <c r="F96" s="1489"/>
      <c r="G96" s="1489"/>
      <c r="H96" s="1489"/>
      <c r="I96" s="1489"/>
      <c r="J96" s="932"/>
      <c r="K96" s="928"/>
      <c r="L96" s="928"/>
      <c r="M96" s="928"/>
    </row>
    <row r="97" spans="1:13" s="771" customFormat="1" ht="15.95" customHeight="1" x14ac:dyDescent="0.25">
      <c r="A97" s="1486">
        <v>707502</v>
      </c>
      <c r="B97" s="1213" t="s">
        <v>160</v>
      </c>
      <c r="C97" s="1491">
        <v>180</v>
      </c>
      <c r="D97" s="328">
        <v>8.9999999999999993E-3</v>
      </c>
      <c r="E97" s="1491">
        <v>213.3</v>
      </c>
      <c r="F97" s="29" t="s">
        <v>157</v>
      </c>
      <c r="G97" s="769" t="s">
        <v>153</v>
      </c>
      <c r="H97" s="328">
        <f>ROUND(I97*1000000/(C97*3600),7)</f>
        <v>3.0000000000000001E-6</v>
      </c>
      <c r="I97" s="328">
        <f>ROUND(D97*E97/1000000,8)</f>
        <v>1.9199999999999998E-6</v>
      </c>
      <c r="J97" s="932"/>
      <c r="K97" s="928"/>
      <c r="L97" s="928"/>
      <c r="M97" s="928"/>
    </row>
    <row r="98" spans="1:13" s="771" customFormat="1" ht="15.95" customHeight="1" x14ac:dyDescent="0.25">
      <c r="A98" s="1490"/>
      <c r="B98" s="1213"/>
      <c r="C98" s="1491"/>
      <c r="D98" s="328">
        <v>3.8999999999999998E-3</v>
      </c>
      <c r="E98" s="1491"/>
      <c r="F98" s="29" t="s">
        <v>158</v>
      </c>
      <c r="G98" s="769" t="s">
        <v>159</v>
      </c>
      <c r="H98" s="328">
        <f>ROUND(I98*1000000/(C97*3600),7)</f>
        <v>1.3E-6</v>
      </c>
      <c r="I98" s="328">
        <f>ROUND(D98*E97/1000000,8)</f>
        <v>8.2999999999999999E-7</v>
      </c>
      <c r="J98" s="928">
        <f>SUM(H97:H98)</f>
        <v>4.3000000000000003E-6</v>
      </c>
      <c r="K98" s="928">
        <f>SUM(I97:I98)</f>
        <v>2.7499999999999999E-6</v>
      </c>
      <c r="L98" s="928"/>
      <c r="M98" s="928"/>
    </row>
    <row r="99" spans="1:13" s="771" customFormat="1" ht="15.95" customHeight="1" x14ac:dyDescent="0.25">
      <c r="A99" s="1489" t="s">
        <v>291</v>
      </c>
      <c r="B99" s="1489"/>
      <c r="C99" s="1489"/>
      <c r="D99" s="1489"/>
      <c r="E99" s="1489"/>
      <c r="F99" s="1489"/>
      <c r="G99" s="1489"/>
      <c r="H99" s="1489"/>
      <c r="I99" s="1489"/>
      <c r="J99" s="932"/>
      <c r="K99" s="928"/>
      <c r="L99" s="928"/>
      <c r="M99" s="928"/>
    </row>
    <row r="100" spans="1:13" s="771" customFormat="1" ht="15.95" customHeight="1" x14ac:dyDescent="0.25">
      <c r="A100" s="1486">
        <v>711102</v>
      </c>
      <c r="B100" s="1213" t="s">
        <v>160</v>
      </c>
      <c r="C100" s="1491">
        <v>305</v>
      </c>
      <c r="D100" s="328">
        <v>8.9999999999999993E-3</v>
      </c>
      <c r="E100" s="1491">
        <v>264</v>
      </c>
      <c r="F100" s="29" t="s">
        <v>157</v>
      </c>
      <c r="G100" s="769" t="s">
        <v>153</v>
      </c>
      <c r="H100" s="328">
        <f>ROUND(I100*1000000/(C100*3600),7)</f>
        <v>2.2000000000000001E-6</v>
      </c>
      <c r="I100" s="328">
        <f>ROUND(D100*E100/1000000,8)</f>
        <v>2.3800000000000001E-6</v>
      </c>
      <c r="J100" s="932"/>
      <c r="K100" s="928"/>
      <c r="L100" s="928"/>
      <c r="M100" s="928"/>
    </row>
    <row r="101" spans="1:13" s="771" customFormat="1" ht="15.95" customHeight="1" x14ac:dyDescent="0.25">
      <c r="A101" s="1490"/>
      <c r="B101" s="1213"/>
      <c r="C101" s="1491"/>
      <c r="D101" s="328">
        <v>3.8999999999999998E-3</v>
      </c>
      <c r="E101" s="1491"/>
      <c r="F101" s="29" t="s">
        <v>158</v>
      </c>
      <c r="G101" s="769" t="s">
        <v>159</v>
      </c>
      <c r="H101" s="328">
        <f>ROUND(I101*1000000/(C100*3600),7)</f>
        <v>8.9999999999999996E-7</v>
      </c>
      <c r="I101" s="328">
        <f>ROUND(D101*E100/1000000,8)</f>
        <v>1.0300000000000001E-6</v>
      </c>
      <c r="J101" s="928">
        <f>SUM(H100:H101)</f>
        <v>3.1E-6</v>
      </c>
      <c r="K101" s="928">
        <f>SUM(I100:I101)</f>
        <v>3.4100000000000004E-6</v>
      </c>
      <c r="L101" s="933"/>
      <c r="M101" s="928"/>
    </row>
    <row r="102" spans="1:13" s="771" customFormat="1" ht="15.95" customHeight="1" x14ac:dyDescent="0.25">
      <c r="A102" s="1502" t="s">
        <v>63</v>
      </c>
      <c r="B102" s="1502"/>
      <c r="C102" s="1502"/>
      <c r="D102" s="1502"/>
      <c r="E102" s="1502"/>
      <c r="F102" s="1502"/>
      <c r="G102" s="1502"/>
      <c r="H102" s="1502"/>
      <c r="I102" s="1502"/>
      <c r="J102" s="930">
        <f>SUM(J74:J101)</f>
        <v>2.0820000000000001E-5</v>
      </c>
      <c r="K102" s="931">
        <f>SUM(K74:K101)</f>
        <v>2.226E-5</v>
      </c>
      <c r="L102" s="931">
        <v>2028</v>
      </c>
      <c r="M102" s="928"/>
    </row>
    <row r="103" spans="1:13" s="771" customFormat="1" ht="15.95" customHeight="1" x14ac:dyDescent="0.25">
      <c r="A103" s="1489" t="s">
        <v>8</v>
      </c>
      <c r="B103" s="1489"/>
      <c r="C103" s="1489"/>
      <c r="D103" s="1489"/>
      <c r="E103" s="1489"/>
      <c r="F103" s="1489"/>
      <c r="G103" s="1489"/>
      <c r="H103" s="1489"/>
      <c r="I103" s="1489"/>
      <c r="J103" s="928"/>
      <c r="K103" s="928"/>
      <c r="L103" s="928"/>
      <c r="M103" s="928"/>
    </row>
    <row r="104" spans="1:13" s="771" customFormat="1" ht="15.95" customHeight="1" x14ac:dyDescent="0.25">
      <c r="A104" s="1486">
        <v>700603</v>
      </c>
      <c r="B104" s="1213" t="s">
        <v>160</v>
      </c>
      <c r="C104" s="1491">
        <v>192</v>
      </c>
      <c r="D104" s="328">
        <v>8.9999999999999993E-3</v>
      </c>
      <c r="E104" s="1491">
        <v>12.3</v>
      </c>
      <c r="F104" s="29" t="s">
        <v>157</v>
      </c>
      <c r="G104" s="769" t="s">
        <v>153</v>
      </c>
      <c r="H104" s="328">
        <f>ROUND(I104*1000000/(C104*3600),7)</f>
        <v>9.9999999999999995E-8</v>
      </c>
      <c r="I104" s="328">
        <f>ROUND(D104*E104/1000000,7)</f>
        <v>9.9999999999999995E-8</v>
      </c>
      <c r="J104" s="928"/>
      <c r="K104" s="928"/>
      <c r="L104" s="928"/>
      <c r="M104" s="928"/>
    </row>
    <row r="105" spans="1:13" s="771" customFormat="1" ht="15.95" customHeight="1" x14ac:dyDescent="0.25">
      <c r="A105" s="1490"/>
      <c r="B105" s="1213"/>
      <c r="C105" s="1491"/>
      <c r="D105" s="328">
        <v>3.8999999999999998E-3</v>
      </c>
      <c r="E105" s="1491"/>
      <c r="F105" s="29" t="s">
        <v>158</v>
      </c>
      <c r="G105" s="769" t="s">
        <v>159</v>
      </c>
      <c r="H105" s="328">
        <f>ROUND(I105*1000000/(C104*3600),7)</f>
        <v>9.9999999999999995E-8</v>
      </c>
      <c r="I105" s="328">
        <f>ROUND(D105*E104/1000000,8)</f>
        <v>4.9999999999999998E-8</v>
      </c>
      <c r="J105" s="928">
        <f>SUM(H104:H105)</f>
        <v>1.9999999999999999E-7</v>
      </c>
      <c r="K105" s="928">
        <f>SUM(I104:I105)</f>
        <v>1.4999999999999999E-7</v>
      </c>
      <c r="L105" s="928"/>
      <c r="M105" s="928"/>
    </row>
    <row r="106" spans="1:13" s="771" customFormat="1" ht="15.95" customHeight="1" x14ac:dyDescent="0.25">
      <c r="A106" s="1489" t="s">
        <v>215</v>
      </c>
      <c r="B106" s="1489"/>
      <c r="C106" s="1489"/>
      <c r="D106" s="1489"/>
      <c r="E106" s="1489"/>
      <c r="F106" s="1489"/>
      <c r="G106" s="1489"/>
      <c r="H106" s="1489"/>
      <c r="I106" s="1489"/>
      <c r="J106" s="932"/>
      <c r="K106" s="928"/>
      <c r="L106" s="928"/>
      <c r="M106" s="928"/>
    </row>
    <row r="107" spans="1:13" s="771" customFormat="1" ht="15.95" customHeight="1" x14ac:dyDescent="0.25">
      <c r="A107" s="1486">
        <v>702902</v>
      </c>
      <c r="B107" s="1213" t="s">
        <v>160</v>
      </c>
      <c r="C107" s="1491">
        <v>288</v>
      </c>
      <c r="D107" s="328">
        <v>8.9999999999999993E-3</v>
      </c>
      <c r="E107" s="1491">
        <v>120.3</v>
      </c>
      <c r="F107" s="29" t="s">
        <v>157</v>
      </c>
      <c r="G107" s="769" t="s">
        <v>153</v>
      </c>
      <c r="H107" s="328">
        <f>ROUND(I107*1000000/(C107*3600),8)</f>
        <v>1.04E-6</v>
      </c>
      <c r="I107" s="328">
        <f>ROUND(D107*E107/1000000,8)</f>
        <v>1.08E-6</v>
      </c>
      <c r="J107" s="932"/>
      <c r="K107" s="928"/>
      <c r="L107" s="928"/>
      <c r="M107" s="928"/>
    </row>
    <row r="108" spans="1:13" s="771" customFormat="1" ht="15.95" customHeight="1" x14ac:dyDescent="0.25">
      <c r="A108" s="1490"/>
      <c r="B108" s="1213"/>
      <c r="C108" s="1491"/>
      <c r="D108" s="328">
        <v>3.8999999999999998E-3</v>
      </c>
      <c r="E108" s="1491"/>
      <c r="F108" s="29" t="s">
        <v>158</v>
      </c>
      <c r="G108" s="769" t="s">
        <v>159</v>
      </c>
      <c r="H108" s="328">
        <f>ROUND(I108*1000000/(C107*3600),8)</f>
        <v>4.4999999999999998E-7</v>
      </c>
      <c r="I108" s="328">
        <f>ROUND(D108*E107/1000000,8)</f>
        <v>4.7E-7</v>
      </c>
      <c r="J108" s="928">
        <f>SUM(H107:H108)</f>
        <v>1.4899999999999999E-6</v>
      </c>
      <c r="K108" s="928">
        <f>SUM(I107:I108)</f>
        <v>1.55E-6</v>
      </c>
      <c r="L108" s="928"/>
      <c r="M108" s="928"/>
    </row>
    <row r="109" spans="1:13" s="771" customFormat="1" ht="15.95" customHeight="1" x14ac:dyDescent="0.25">
      <c r="A109" s="1489" t="s">
        <v>276</v>
      </c>
      <c r="B109" s="1489"/>
      <c r="C109" s="1489"/>
      <c r="D109" s="1489"/>
      <c r="E109" s="1489"/>
      <c r="F109" s="1489"/>
      <c r="G109" s="1489"/>
      <c r="H109" s="1489"/>
      <c r="I109" s="1489"/>
      <c r="J109" s="932"/>
      <c r="K109" s="928"/>
      <c r="L109" s="928"/>
      <c r="M109" s="928"/>
    </row>
    <row r="110" spans="1:13" s="771" customFormat="1" ht="15.95" customHeight="1" x14ac:dyDescent="0.25">
      <c r="A110" s="1486">
        <v>708702</v>
      </c>
      <c r="B110" s="1213" t="s">
        <v>160</v>
      </c>
      <c r="C110" s="1491">
        <v>1080</v>
      </c>
      <c r="D110" s="328">
        <v>8.9999999999999993E-3</v>
      </c>
      <c r="E110" s="1491">
        <v>37.5</v>
      </c>
      <c r="F110" s="29" t="s">
        <v>157</v>
      </c>
      <c r="G110" s="769" t="s">
        <v>153</v>
      </c>
      <c r="H110" s="328">
        <f>ROUND(I110*1000000/(C110*3600),8)</f>
        <v>8.9999999999999999E-8</v>
      </c>
      <c r="I110" s="328">
        <f>ROUND(D110*E110/1000000,8)</f>
        <v>3.3999999999999997E-7</v>
      </c>
      <c r="J110" s="932"/>
      <c r="K110" s="928"/>
      <c r="L110" s="928"/>
      <c r="M110" s="928"/>
    </row>
    <row r="111" spans="1:13" s="771" customFormat="1" ht="15.95" customHeight="1" x14ac:dyDescent="0.25">
      <c r="A111" s="1490"/>
      <c r="B111" s="1213"/>
      <c r="C111" s="1491"/>
      <c r="D111" s="328">
        <v>3.8999999999999998E-3</v>
      </c>
      <c r="E111" s="1491"/>
      <c r="F111" s="29" t="s">
        <v>158</v>
      </c>
      <c r="G111" s="769" t="s">
        <v>159</v>
      </c>
      <c r="H111" s="328">
        <f>ROUND(I111*1000000/(C110*3600),8)</f>
        <v>4.0000000000000001E-8</v>
      </c>
      <c r="I111" s="328">
        <f>ROUND(D111*E110/1000000,8)</f>
        <v>1.4999999999999999E-7</v>
      </c>
      <c r="J111" s="928">
        <f>SUM(H110:H111)</f>
        <v>1.3E-7</v>
      </c>
      <c r="K111" s="928">
        <f>SUM(I110:I111)</f>
        <v>4.8999999999999997E-7</v>
      </c>
      <c r="L111" s="933"/>
      <c r="M111" s="928"/>
    </row>
    <row r="112" spans="1:13" x14ac:dyDescent="0.25">
      <c r="J112" s="935">
        <f>SUM(J105:J111)</f>
        <v>1.8199999999999999E-6</v>
      </c>
      <c r="K112" s="869">
        <f>SUM(K105:K111)</f>
        <v>2.1900000000000002E-6</v>
      </c>
      <c r="L112" s="869">
        <v>2029</v>
      </c>
    </row>
  </sheetData>
  <mergeCells count="159">
    <mergeCell ref="A109:I109"/>
    <mergeCell ref="A110:A111"/>
    <mergeCell ref="B110:B111"/>
    <mergeCell ref="C110:C111"/>
    <mergeCell ref="E110:E111"/>
    <mergeCell ref="B94:B95"/>
    <mergeCell ref="C94:C95"/>
    <mergeCell ref="E94:E95"/>
    <mergeCell ref="A99:I99"/>
    <mergeCell ref="A100:A101"/>
    <mergeCell ref="B100:B101"/>
    <mergeCell ref="C100:C101"/>
    <mergeCell ref="E100:E101"/>
    <mergeCell ref="A102:I102"/>
    <mergeCell ref="A106:I106"/>
    <mergeCell ref="A107:A108"/>
    <mergeCell ref="B107:B108"/>
    <mergeCell ref="C107:C108"/>
    <mergeCell ref="E107:E108"/>
    <mergeCell ref="A104:A105"/>
    <mergeCell ref="B104:B105"/>
    <mergeCell ref="C104:C105"/>
    <mergeCell ref="E104:E105"/>
    <mergeCell ref="A76:A77"/>
    <mergeCell ref="A1:I1"/>
    <mergeCell ref="A96:I96"/>
    <mergeCell ref="A97:A98"/>
    <mergeCell ref="B97:B98"/>
    <mergeCell ref="A3:N3"/>
    <mergeCell ref="A4:J4"/>
    <mergeCell ref="A6:J6"/>
    <mergeCell ref="A8:J8"/>
    <mergeCell ref="A10:J10"/>
    <mergeCell ref="A12:J12"/>
    <mergeCell ref="A15:J15"/>
    <mergeCell ref="A16:J16"/>
    <mergeCell ref="A17:I17"/>
    <mergeCell ref="A19:I19"/>
    <mergeCell ref="A20:I20"/>
    <mergeCell ref="A21:A23"/>
    <mergeCell ref="B21:B23"/>
    <mergeCell ref="C21:C23"/>
    <mergeCell ref="D21:D23"/>
    <mergeCell ref="E21:E23"/>
    <mergeCell ref="F21:F23"/>
    <mergeCell ref="G21:G23"/>
    <mergeCell ref="H21:I22"/>
    <mergeCell ref="B82:B83"/>
    <mergeCell ref="C82:C83"/>
    <mergeCell ref="E82:E83"/>
    <mergeCell ref="A84:I84"/>
    <mergeCell ref="A85:A86"/>
    <mergeCell ref="B85:B86"/>
    <mergeCell ref="C85:C86"/>
    <mergeCell ref="E85:E86"/>
    <mergeCell ref="A103:I103"/>
    <mergeCell ref="C91:C92"/>
    <mergeCell ref="E91:E92"/>
    <mergeCell ref="A90:I90"/>
    <mergeCell ref="A91:A92"/>
    <mergeCell ref="A87:I87"/>
    <mergeCell ref="A88:A89"/>
    <mergeCell ref="A94:A95"/>
    <mergeCell ref="E45:E46"/>
    <mergeCell ref="A43:I43"/>
    <mergeCell ref="A47:I47"/>
    <mergeCell ref="A50:I50"/>
    <mergeCell ref="A51:A52"/>
    <mergeCell ref="A25:I25"/>
    <mergeCell ref="A82:A83"/>
    <mergeCell ref="A71:I71"/>
    <mergeCell ref="A54:A55"/>
    <mergeCell ref="B54:B55"/>
    <mergeCell ref="C54:C55"/>
    <mergeCell ref="E54:E55"/>
    <mergeCell ref="B57:B58"/>
    <mergeCell ref="C57:C58"/>
    <mergeCell ref="E57:E58"/>
    <mergeCell ref="A56:I56"/>
    <mergeCell ref="E79:E80"/>
    <mergeCell ref="A81:I81"/>
    <mergeCell ref="A72:I72"/>
    <mergeCell ref="A73:A74"/>
    <mergeCell ref="B73:B74"/>
    <mergeCell ref="C73:C74"/>
    <mergeCell ref="E73:E74"/>
    <mergeCell ref="C79:C80"/>
    <mergeCell ref="A79:A80"/>
    <mergeCell ref="B79:B80"/>
    <mergeCell ref="C97:C98"/>
    <mergeCell ref="E97:E98"/>
    <mergeCell ref="A93:I93"/>
    <mergeCell ref="A65:I65"/>
    <mergeCell ref="A66:A67"/>
    <mergeCell ref="B66:B67"/>
    <mergeCell ref="C66:C67"/>
    <mergeCell ref="E66:E67"/>
    <mergeCell ref="A68:I68"/>
    <mergeCell ref="A69:A70"/>
    <mergeCell ref="B69:B70"/>
    <mergeCell ref="C69:C70"/>
    <mergeCell ref="E69:E70"/>
    <mergeCell ref="B76:B77"/>
    <mergeCell ref="C76:C77"/>
    <mergeCell ref="E76:E77"/>
    <mergeCell ref="B91:B92"/>
    <mergeCell ref="A78:I78"/>
    <mergeCell ref="B88:B89"/>
    <mergeCell ref="C88:C89"/>
    <mergeCell ref="E88:E89"/>
    <mergeCell ref="A75:I75"/>
    <mergeCell ref="A26:I26"/>
    <mergeCell ref="A27:I27"/>
    <mergeCell ref="A28:A29"/>
    <mergeCell ref="B28:B29"/>
    <mergeCell ref="C28:C29"/>
    <mergeCell ref="E28:E29"/>
    <mergeCell ref="E41:E42"/>
    <mergeCell ref="B31:B32"/>
    <mergeCell ref="C31:C32"/>
    <mergeCell ref="E31:E32"/>
    <mergeCell ref="A37:I37"/>
    <mergeCell ref="A38:A39"/>
    <mergeCell ref="B38:B39"/>
    <mergeCell ref="C38:C39"/>
    <mergeCell ref="E38:E39"/>
    <mergeCell ref="A40:I40"/>
    <mergeCell ref="A41:A42"/>
    <mergeCell ref="B41:B42"/>
    <mergeCell ref="C41:C42"/>
    <mergeCell ref="A35:E36"/>
    <mergeCell ref="A30:I30"/>
    <mergeCell ref="B33:B34"/>
    <mergeCell ref="C33:C34"/>
    <mergeCell ref="E33:E34"/>
    <mergeCell ref="A31:A34"/>
    <mergeCell ref="A62:I62"/>
    <mergeCell ref="A63:A64"/>
    <mergeCell ref="B63:B64"/>
    <mergeCell ref="C63:C64"/>
    <mergeCell ref="E63:E64"/>
    <mergeCell ref="B60:B61"/>
    <mergeCell ref="C60:C61"/>
    <mergeCell ref="E60:E61"/>
    <mergeCell ref="A60:A61"/>
    <mergeCell ref="A57:A58"/>
    <mergeCell ref="A48:A49"/>
    <mergeCell ref="B48:B49"/>
    <mergeCell ref="C48:C49"/>
    <mergeCell ref="E48:E49"/>
    <mergeCell ref="B51:B52"/>
    <mergeCell ref="C51:C52"/>
    <mergeCell ref="E51:E52"/>
    <mergeCell ref="A53:I53"/>
    <mergeCell ref="A59:I59"/>
    <mergeCell ref="A44:I44"/>
    <mergeCell ref="A45:A46"/>
    <mergeCell ref="B45:B46"/>
    <mergeCell ref="C45:C46"/>
  </mergeCells>
  <pageMargins left="0.31496062992125984" right="0.31496062992125984" top="0.78740157480314965" bottom="0.39370078740157483" header="0.31496062992125984" footer="0.19685039370078741"/>
  <pageSetup paperSize="9" firstPageNumber="99" orientation="landscape" useFirstPageNumber="1" r:id="rId1"/>
  <headerFooter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F918A-75CD-4710-8D0B-1A017FCECE99}">
  <sheetPr>
    <tabColor theme="0"/>
  </sheetPr>
  <dimension ref="A1:Q94"/>
  <sheetViews>
    <sheetView view="pageBreakPreview" topLeftCell="A64" zoomScaleNormal="100" zoomScaleSheetLayoutView="100" workbookViewId="0">
      <selection activeCell="G83" sqref="G83"/>
    </sheetView>
  </sheetViews>
  <sheetFormatPr defaultRowHeight="12.75" x14ac:dyDescent="0.2"/>
  <cols>
    <col min="1" max="1" width="6.28515625" style="49" customWidth="1"/>
    <col min="2" max="2" width="12.7109375" style="49" customWidth="1"/>
    <col min="3" max="3" width="12.140625" style="49" customWidth="1"/>
    <col min="4" max="4" width="9.5703125" style="49" customWidth="1"/>
    <col min="5" max="5" width="5.7109375" style="49" customWidth="1"/>
    <col min="6" max="6" width="11" style="697" customWidth="1"/>
    <col min="7" max="7" width="10.28515625" style="697" customWidth="1"/>
    <col min="8" max="8" width="8" style="697" customWidth="1"/>
    <col min="9" max="9" width="9" style="697" customWidth="1"/>
    <col min="10" max="10" width="9.85546875" style="697" customWidth="1"/>
    <col min="11" max="11" width="17.42578125" style="697" customWidth="1"/>
    <col min="12" max="12" width="6.28515625" style="49" customWidth="1"/>
    <col min="13" max="13" width="10.85546875" style="49" customWidth="1"/>
    <col min="14" max="14" width="12" style="49" customWidth="1"/>
    <col min="15" max="15" width="10.7109375" style="49" bestFit="1" customWidth="1"/>
    <col min="16" max="16" width="10.5703125" style="49" customWidth="1"/>
    <col min="17" max="17" width="11.42578125" style="49" bestFit="1" customWidth="1"/>
    <col min="18" max="16384" width="9.140625" style="49"/>
  </cols>
  <sheetData>
    <row r="1" spans="1:14" s="48" customFormat="1" ht="18.75" x14ac:dyDescent="0.3">
      <c r="A1" s="1103" t="s">
        <v>1181</v>
      </c>
      <c r="B1" s="1103"/>
      <c r="C1" s="1103"/>
      <c r="D1" s="1103"/>
      <c r="E1" s="1103"/>
      <c r="F1" s="1103"/>
      <c r="G1" s="1103"/>
      <c r="H1" s="1103"/>
      <c r="I1" s="1103"/>
      <c r="J1" s="1103"/>
      <c r="K1" s="1103"/>
      <c r="L1" s="1103"/>
      <c r="M1" s="1103"/>
      <c r="N1" s="1103"/>
    </row>
    <row r="2" spans="1:14" s="48" customFormat="1" x14ac:dyDescent="0.2">
      <c r="A2" s="604"/>
      <c r="B2" s="604"/>
      <c r="C2" s="604"/>
      <c r="D2" s="604"/>
      <c r="E2" s="604"/>
      <c r="F2" s="742"/>
      <c r="G2" s="742"/>
      <c r="H2" s="742"/>
      <c r="I2" s="742"/>
      <c r="J2" s="742"/>
      <c r="K2" s="742"/>
      <c r="L2" s="605"/>
      <c r="M2" s="605"/>
      <c r="N2" s="605"/>
    </row>
    <row r="3" spans="1:14" s="47" customFormat="1" ht="15" x14ac:dyDescent="0.25">
      <c r="A3" s="47" t="s">
        <v>1141</v>
      </c>
      <c r="F3" s="353"/>
      <c r="G3" s="353"/>
      <c r="H3" s="353"/>
      <c r="I3" s="353"/>
      <c r="J3" s="353"/>
      <c r="K3" s="353"/>
    </row>
    <row r="4" spans="1:14" s="47" customFormat="1" ht="15" x14ac:dyDescent="0.25">
      <c r="A4" s="1525" t="s">
        <v>1142</v>
      </c>
      <c r="B4" s="1525"/>
      <c r="C4" s="1525"/>
      <c r="D4" s="1525"/>
      <c r="E4" s="1525"/>
      <c r="F4" s="1525"/>
      <c r="G4" s="1525"/>
      <c r="H4" s="1525"/>
      <c r="I4" s="1525"/>
      <c r="J4" s="1525"/>
      <c r="K4" s="1525"/>
      <c r="L4" s="1525"/>
      <c r="M4" s="1525"/>
      <c r="N4" s="1525"/>
    </row>
    <row r="5" spans="1:14" s="48" customFormat="1" x14ac:dyDescent="0.2">
      <c r="A5" s="744"/>
      <c r="B5" s="744"/>
      <c r="C5" s="744"/>
      <c r="D5" s="744"/>
      <c r="E5" s="744"/>
      <c r="F5" s="745"/>
      <c r="G5" s="745"/>
      <c r="H5" s="745"/>
      <c r="I5" s="745"/>
      <c r="J5" s="745"/>
      <c r="K5" s="745"/>
      <c r="L5" s="744"/>
      <c r="M5" s="744"/>
      <c r="N5" s="744"/>
    </row>
    <row r="6" spans="1:14" s="14" customFormat="1" ht="18.75" x14ac:dyDescent="0.3">
      <c r="A6" s="1524" t="s">
        <v>1211</v>
      </c>
      <c r="B6" s="1524"/>
      <c r="C6" s="1524"/>
      <c r="D6" s="1524"/>
      <c r="E6" s="1524"/>
      <c r="F6" s="1524"/>
      <c r="G6" s="1524"/>
      <c r="H6" s="1524"/>
      <c r="I6" s="1524"/>
      <c r="J6" s="1524"/>
      <c r="K6" s="1524"/>
      <c r="L6" s="1524"/>
      <c r="M6" s="1524"/>
    </row>
    <row r="7" spans="1:14" s="14" customFormat="1" ht="18.75" x14ac:dyDescent="0.3">
      <c r="A7" s="601"/>
      <c r="B7" s="601"/>
      <c r="C7" s="601"/>
      <c r="D7" s="601"/>
      <c r="E7" s="601"/>
      <c r="F7" s="798"/>
      <c r="G7" s="798"/>
      <c r="H7" s="798"/>
      <c r="I7" s="798"/>
      <c r="J7" s="798"/>
      <c r="K7" s="354"/>
    </row>
    <row r="8" spans="1:14" s="14" customFormat="1" ht="18.75" x14ac:dyDescent="0.3">
      <c r="A8" s="1103" t="s">
        <v>1179</v>
      </c>
      <c r="B8" s="1103"/>
      <c r="C8" s="1103"/>
      <c r="D8" s="1103"/>
      <c r="E8" s="1103"/>
      <c r="F8" s="1103"/>
      <c r="G8" s="1103"/>
      <c r="H8" s="1103"/>
      <c r="I8" s="1103"/>
      <c r="J8" s="1103"/>
      <c r="K8" s="354"/>
    </row>
    <row r="9" spans="1:14" s="14" customFormat="1" ht="18.75" x14ac:dyDescent="0.3">
      <c r="A9" s="1103" t="s">
        <v>1180</v>
      </c>
      <c r="B9" s="1103"/>
      <c r="C9" s="1103"/>
      <c r="D9" s="1103"/>
      <c r="E9" s="1103"/>
      <c r="F9" s="1103"/>
      <c r="G9" s="1103"/>
      <c r="H9" s="1103"/>
      <c r="I9" s="1103"/>
      <c r="J9" s="1103"/>
      <c r="K9" s="354"/>
    </row>
    <row r="10" spans="1:14" s="83" customFormat="1" ht="15.75" x14ac:dyDescent="0.25">
      <c r="A10" s="82"/>
      <c r="B10" s="82"/>
      <c r="C10" s="82"/>
      <c r="D10" s="82"/>
      <c r="E10" s="82"/>
      <c r="F10" s="727"/>
      <c r="G10" s="727"/>
      <c r="H10" s="727"/>
      <c r="I10" s="727"/>
      <c r="J10" s="727"/>
      <c r="K10" s="70"/>
    </row>
    <row r="11" spans="1:14" s="83" customFormat="1" ht="15.75" x14ac:dyDescent="0.25">
      <c r="A11" s="1124" t="s">
        <v>1143</v>
      </c>
      <c r="B11" s="1124"/>
      <c r="C11" s="1124"/>
      <c r="D11" s="1124"/>
      <c r="E11" s="1124"/>
      <c r="F11" s="1124"/>
      <c r="G11" s="1124"/>
      <c r="H11" s="1124"/>
      <c r="I11" s="1124"/>
      <c r="J11" s="1124"/>
      <c r="K11" s="70"/>
    </row>
    <row r="12" spans="1:14" s="83" customFormat="1" ht="15.75" x14ac:dyDescent="0.25">
      <c r="A12" s="1124" t="s">
        <v>1144</v>
      </c>
      <c r="B12" s="1124"/>
      <c r="C12" s="1124"/>
      <c r="D12" s="1124"/>
      <c r="E12" s="1124"/>
      <c r="F12" s="1124"/>
      <c r="G12" s="1124"/>
      <c r="H12" s="1124"/>
      <c r="I12" s="1124"/>
      <c r="J12" s="1124"/>
      <c r="K12" s="70"/>
    </row>
    <row r="13" spans="1:14" s="83" customFormat="1" ht="15.75" x14ac:dyDescent="0.25">
      <c r="A13" s="1124" t="s">
        <v>1145</v>
      </c>
      <c r="B13" s="1124"/>
      <c r="C13" s="1124"/>
      <c r="D13" s="1124"/>
      <c r="E13" s="1124"/>
      <c r="F13" s="1124"/>
      <c r="G13" s="1124"/>
      <c r="H13" s="1124"/>
      <c r="I13" s="1124"/>
      <c r="J13" s="1124"/>
      <c r="K13" s="70"/>
    </row>
    <row r="14" spans="1:14" s="83" customFormat="1" ht="15.75" x14ac:dyDescent="0.25">
      <c r="A14" s="1124" t="s">
        <v>1146</v>
      </c>
      <c r="B14" s="1124"/>
      <c r="C14" s="1124"/>
      <c r="D14" s="1124"/>
      <c r="E14" s="1124"/>
      <c r="F14" s="1124"/>
      <c r="G14" s="1124"/>
      <c r="H14" s="1124"/>
      <c r="I14" s="1124"/>
      <c r="J14" s="1124"/>
      <c r="K14" s="70"/>
    </row>
    <row r="15" spans="1:14" s="83" customFormat="1" ht="15.75" x14ac:dyDescent="0.25">
      <c r="A15" s="1124" t="s">
        <v>1147</v>
      </c>
      <c r="B15" s="1124"/>
      <c r="C15" s="1124"/>
      <c r="D15" s="1124"/>
      <c r="E15" s="1124"/>
      <c r="F15" s="1124"/>
      <c r="G15" s="1124"/>
      <c r="H15" s="1124"/>
      <c r="I15" s="1124"/>
      <c r="J15" s="1124"/>
      <c r="K15" s="70"/>
    </row>
    <row r="16" spans="1:14" s="795" customFormat="1" ht="18.75" x14ac:dyDescent="0.35">
      <c r="A16" s="795" t="s">
        <v>1212</v>
      </c>
      <c r="C16" s="796"/>
      <c r="D16" s="796"/>
      <c r="E16" s="796"/>
      <c r="F16" s="797"/>
      <c r="G16" s="70"/>
      <c r="H16" s="70"/>
      <c r="I16" s="70"/>
      <c r="J16" s="70"/>
      <c r="K16" s="70"/>
    </row>
    <row r="17" spans="1:17" s="77" customFormat="1" ht="21.75" customHeight="1" x14ac:dyDescent="0.3">
      <c r="A17" s="1508" t="s">
        <v>1213</v>
      </c>
      <c r="B17" s="1508"/>
      <c r="C17" s="1508"/>
      <c r="D17" s="1508"/>
      <c r="E17" s="1508"/>
      <c r="F17" s="1508"/>
      <c r="G17" s="1508"/>
      <c r="H17" s="1508"/>
      <c r="I17" s="1508"/>
      <c r="J17" s="1508"/>
      <c r="K17" s="1508"/>
      <c r="L17" s="1508"/>
      <c r="M17" s="1508"/>
      <c r="N17" s="1508"/>
    </row>
    <row r="18" spans="1:17" s="238" customFormat="1" ht="9" customHeight="1" x14ac:dyDescent="0.2">
      <c r="C18" s="739"/>
      <c r="D18" s="739"/>
      <c r="E18" s="739"/>
      <c r="F18" s="740"/>
      <c r="G18" s="741"/>
      <c r="H18" s="741"/>
      <c r="I18" s="741"/>
      <c r="J18" s="741"/>
      <c r="K18" s="741"/>
    </row>
    <row r="19" spans="1:17" s="236" customFormat="1" ht="18.75" x14ac:dyDescent="0.3">
      <c r="A19" s="1523" t="s">
        <v>1214</v>
      </c>
      <c r="B19" s="1523"/>
      <c r="C19" s="1523"/>
      <c r="D19" s="1523"/>
      <c r="E19" s="1523"/>
      <c r="F19" s="1523"/>
      <c r="G19" s="1523"/>
      <c r="H19" s="1523"/>
      <c r="I19" s="1523"/>
      <c r="J19" s="1523"/>
      <c r="K19" s="1523"/>
      <c r="L19" s="1523"/>
      <c r="M19" s="1523"/>
      <c r="N19" s="1523"/>
    </row>
    <row r="20" spans="1:17" s="66" customFormat="1" ht="17.25" customHeight="1" x14ac:dyDescent="0.25">
      <c r="A20" s="1154" t="s">
        <v>901</v>
      </c>
      <c r="B20" s="1154" t="s">
        <v>1155</v>
      </c>
      <c r="C20" s="1154" t="s">
        <v>1154</v>
      </c>
      <c r="D20" s="1154" t="s">
        <v>1156</v>
      </c>
      <c r="E20" s="1522" t="s">
        <v>1157</v>
      </c>
      <c r="F20" s="1215"/>
      <c r="G20" s="1518" t="s">
        <v>1159</v>
      </c>
      <c r="H20" s="1518" t="s">
        <v>1160</v>
      </c>
      <c r="I20" s="1520" t="s">
        <v>1161</v>
      </c>
      <c r="J20" s="1521"/>
      <c r="K20" s="728" t="s">
        <v>161</v>
      </c>
      <c r="L20" s="1154" t="s">
        <v>42</v>
      </c>
      <c r="M20" s="1522" t="s">
        <v>87</v>
      </c>
      <c r="N20" s="1215"/>
    </row>
    <row r="21" spans="1:17" s="66" customFormat="1" ht="38.25" customHeight="1" x14ac:dyDescent="0.25">
      <c r="A21" s="1517"/>
      <c r="B21" s="1517"/>
      <c r="C21" s="1517"/>
      <c r="D21" s="1517"/>
      <c r="E21" s="192" t="s">
        <v>1148</v>
      </c>
      <c r="F21" s="728" t="s">
        <v>1158</v>
      </c>
      <c r="G21" s="1519"/>
      <c r="H21" s="1519"/>
      <c r="I21" s="728" t="s">
        <v>1162</v>
      </c>
      <c r="J21" s="728" t="s">
        <v>1163</v>
      </c>
      <c r="K21" s="729"/>
      <c r="L21" s="1517"/>
      <c r="M21" s="192" t="s">
        <v>162</v>
      </c>
      <c r="N21" s="192" t="s">
        <v>163</v>
      </c>
      <c r="O21" s="746"/>
    </row>
    <row r="22" spans="1:17" s="66" customFormat="1" ht="12" customHeight="1" x14ac:dyDescent="0.2">
      <c r="A22" s="8">
        <v>1</v>
      </c>
      <c r="B22" s="8">
        <v>2</v>
      </c>
      <c r="C22" s="8">
        <v>3</v>
      </c>
      <c r="D22" s="8">
        <v>4</v>
      </c>
      <c r="E22" s="8">
        <v>5</v>
      </c>
      <c r="F22" s="193">
        <v>6</v>
      </c>
      <c r="G22" s="193">
        <v>7</v>
      </c>
      <c r="H22" s="193">
        <v>8</v>
      </c>
      <c r="I22" s="193">
        <v>9</v>
      </c>
      <c r="J22" s="193">
        <v>10</v>
      </c>
      <c r="K22" s="193">
        <v>11</v>
      </c>
      <c r="L22" s="8">
        <v>12</v>
      </c>
      <c r="M22" s="8">
        <v>13</v>
      </c>
      <c r="N22" s="8">
        <v>14</v>
      </c>
      <c r="O22" s="747"/>
    </row>
    <row r="23" spans="1:17" s="86" customFormat="1" ht="12" customHeight="1" x14ac:dyDescent="0.25">
      <c r="A23" s="1511" t="s">
        <v>5</v>
      </c>
      <c r="B23" s="1512"/>
      <c r="C23" s="1512"/>
      <c r="D23" s="1512"/>
      <c r="E23" s="1512"/>
      <c r="F23" s="1512"/>
      <c r="G23" s="1512"/>
      <c r="H23" s="1512"/>
      <c r="I23" s="1512"/>
      <c r="J23" s="1512"/>
      <c r="K23" s="1512"/>
      <c r="L23" s="1512"/>
      <c r="M23" s="1512"/>
      <c r="N23" s="1513"/>
      <c r="O23" s="799"/>
    </row>
    <row r="24" spans="1:17" s="780" customFormat="1" ht="12" customHeight="1" x14ac:dyDescent="0.2">
      <c r="A24" s="774" t="s">
        <v>208</v>
      </c>
      <c r="B24" s="1510" t="s">
        <v>209</v>
      </c>
      <c r="C24" s="775" t="s">
        <v>164</v>
      </c>
      <c r="D24" s="775" t="s">
        <v>534</v>
      </c>
      <c r="E24" s="775">
        <v>1</v>
      </c>
      <c r="F24" s="775">
        <v>1</v>
      </c>
      <c r="G24" s="775">
        <v>30</v>
      </c>
      <c r="H24" s="775">
        <v>0.747</v>
      </c>
      <c r="I24" s="776">
        <v>7.2</v>
      </c>
      <c r="J24" s="776">
        <v>30</v>
      </c>
      <c r="K24" s="777" t="s">
        <v>157</v>
      </c>
      <c r="L24" s="778" t="s">
        <v>153</v>
      </c>
      <c r="M24" s="776">
        <f>ROUND((F24*(I24*G24/3600)),4)</f>
        <v>0.06</v>
      </c>
      <c r="N24" s="776">
        <f>ROUND((E24*(J24*H24/1000)),4)</f>
        <v>2.24E-2</v>
      </c>
      <c r="O24" s="779"/>
    </row>
    <row r="25" spans="1:17" s="741" customFormat="1" ht="12" customHeight="1" x14ac:dyDescent="0.2">
      <c r="A25" s="781"/>
      <c r="B25" s="1510"/>
      <c r="C25" s="782"/>
      <c r="D25" s="782"/>
      <c r="E25" s="782"/>
      <c r="F25" s="782"/>
      <c r="G25" s="782"/>
      <c r="H25" s="782"/>
      <c r="I25" s="782">
        <v>10.3</v>
      </c>
      <c r="J25" s="782">
        <v>43</v>
      </c>
      <c r="K25" s="783" t="s">
        <v>165</v>
      </c>
      <c r="L25" s="784" t="s">
        <v>144</v>
      </c>
      <c r="M25" s="224">
        <f>ROUND(((F24*(I25*G24/3600))*0.8),4)</f>
        <v>6.8699999999999997E-2</v>
      </c>
      <c r="N25" s="224">
        <f>ROUND(((E24*(J25*H24/1000))*0.8),4)</f>
        <v>2.5700000000000001E-2</v>
      </c>
      <c r="O25" s="779"/>
      <c r="Q25" s="743"/>
    </row>
    <row r="26" spans="1:17" s="741" customFormat="1" ht="12" customHeight="1" x14ac:dyDescent="0.2">
      <c r="A26" s="782"/>
      <c r="B26" s="1510"/>
      <c r="C26" s="782"/>
      <c r="D26" s="782"/>
      <c r="E26" s="782"/>
      <c r="F26" s="782"/>
      <c r="G26" s="782"/>
      <c r="H26" s="782"/>
      <c r="I26" s="782"/>
      <c r="J26" s="782"/>
      <c r="K26" s="783" t="s">
        <v>166</v>
      </c>
      <c r="L26" s="784" t="s">
        <v>167</v>
      </c>
      <c r="M26" s="224">
        <f>ROUND(((F24*(I25*G24/3600))*0.13),4)</f>
        <v>1.12E-2</v>
      </c>
      <c r="N26" s="224">
        <f>ROUND(((E24*(J25*H24/1000))*0.13),4)</f>
        <v>4.1999999999999997E-3</v>
      </c>
      <c r="O26" s="779"/>
    </row>
    <row r="27" spans="1:17" s="741" customFormat="1" ht="12" customHeight="1" x14ac:dyDescent="0.2">
      <c r="A27" s="782"/>
      <c r="B27" s="782"/>
      <c r="C27" s="782"/>
      <c r="D27" s="782"/>
      <c r="E27" s="782"/>
      <c r="F27" s="782"/>
      <c r="G27" s="782"/>
      <c r="H27" s="782"/>
      <c r="I27" s="224">
        <v>3.6</v>
      </c>
      <c r="J27" s="224">
        <v>15</v>
      </c>
      <c r="K27" s="785" t="s">
        <v>1150</v>
      </c>
      <c r="L27" s="786">
        <v>2754</v>
      </c>
      <c r="M27" s="224">
        <f>ROUND((F24*(I27*G24/3600)),4)</f>
        <v>0.03</v>
      </c>
      <c r="N27" s="224">
        <f>ROUND(((E24*(J27*H24/1000))),4)</f>
        <v>1.12E-2</v>
      </c>
      <c r="O27" s="779"/>
    </row>
    <row r="28" spans="1:17" s="741" customFormat="1" ht="12" customHeight="1" x14ac:dyDescent="0.2">
      <c r="A28" s="782"/>
      <c r="B28" s="782"/>
      <c r="C28" s="782"/>
      <c r="D28" s="782"/>
      <c r="E28" s="782"/>
      <c r="F28" s="782"/>
      <c r="G28" s="782"/>
      <c r="H28" s="782"/>
      <c r="I28" s="224">
        <v>0.7</v>
      </c>
      <c r="J28" s="224">
        <v>3</v>
      </c>
      <c r="K28" s="787" t="s">
        <v>1151</v>
      </c>
      <c r="L28" s="786" t="s">
        <v>173</v>
      </c>
      <c r="M28" s="224">
        <f>ROUND((F24*(I28*G24/3600)),4)</f>
        <v>5.7999999999999996E-3</v>
      </c>
      <c r="N28" s="224">
        <f>ROUND(((E24*(J28*H24/1000))),4)</f>
        <v>2.2000000000000001E-3</v>
      </c>
      <c r="O28" s="779"/>
    </row>
    <row r="29" spans="1:17" s="741" customFormat="1" ht="12" customHeight="1" x14ac:dyDescent="0.2">
      <c r="A29" s="782"/>
      <c r="B29" s="782"/>
      <c r="C29" s="782"/>
      <c r="D29" s="782"/>
      <c r="E29" s="782"/>
      <c r="F29" s="782"/>
      <c r="G29" s="782"/>
      <c r="H29" s="782"/>
      <c r="I29" s="224">
        <v>1.1000000000000001</v>
      </c>
      <c r="J29" s="224">
        <v>4.5</v>
      </c>
      <c r="K29" s="787" t="s">
        <v>168</v>
      </c>
      <c r="L29" s="786" t="s">
        <v>169</v>
      </c>
      <c r="M29" s="224">
        <f>ROUND((F24*(I29*G24/3600)),4)</f>
        <v>9.1999999999999998E-3</v>
      </c>
      <c r="N29" s="224">
        <f>ROUND(((E24*(J29*H24/1000))),4)</f>
        <v>3.3999999999999998E-3</v>
      </c>
      <c r="O29" s="788"/>
    </row>
    <row r="30" spans="1:17" s="741" customFormat="1" ht="12" customHeight="1" x14ac:dyDescent="0.2">
      <c r="A30" s="782"/>
      <c r="B30" s="782"/>
      <c r="C30" s="782"/>
      <c r="D30" s="782"/>
      <c r="E30" s="782"/>
      <c r="F30" s="782"/>
      <c r="G30" s="782"/>
      <c r="H30" s="782"/>
      <c r="I30" s="789">
        <v>0.15</v>
      </c>
      <c r="J30" s="789">
        <v>0.6</v>
      </c>
      <c r="K30" s="787" t="s">
        <v>170</v>
      </c>
      <c r="L30" s="786" t="s">
        <v>171</v>
      </c>
      <c r="M30" s="224">
        <f>ROUND((F24*(I30*G24/3600)),4)</f>
        <v>1.2999999999999999E-3</v>
      </c>
      <c r="N30" s="224">
        <f>ROUND(((E24*(J30*H24/1000))),5)</f>
        <v>4.4999999999999999E-4</v>
      </c>
    </row>
    <row r="31" spans="1:17" s="741" customFormat="1" ht="12" customHeight="1" x14ac:dyDescent="0.2">
      <c r="A31" s="790"/>
      <c r="B31" s="790"/>
      <c r="C31" s="790"/>
      <c r="D31" s="791"/>
      <c r="E31" s="790"/>
      <c r="F31" s="790"/>
      <c r="G31" s="790"/>
      <c r="H31" s="790"/>
      <c r="I31" s="224">
        <v>1.2999999999999999E-5</v>
      </c>
      <c r="J31" s="224">
        <v>5.5000000000000002E-5</v>
      </c>
      <c r="K31" s="787" t="s">
        <v>1152</v>
      </c>
      <c r="L31" s="786" t="s">
        <v>1153</v>
      </c>
      <c r="M31" s="224">
        <f>ROUND((F24*(I31*G24/3600)),7)</f>
        <v>9.9999999999999995E-8</v>
      </c>
      <c r="N31" s="224">
        <f>ROUND(((E24*(J31*H24/1000))),8)</f>
        <v>4.0000000000000001E-8</v>
      </c>
      <c r="O31" s="741">
        <f>SUM(M24:M31)</f>
        <v>0.18620009999999995</v>
      </c>
      <c r="P31" s="741">
        <f>SUM(N24:N31)</f>
        <v>6.9550040000000007E-2</v>
      </c>
    </row>
    <row r="32" spans="1:17" s="780" customFormat="1" ht="12" customHeight="1" x14ac:dyDescent="0.2">
      <c r="A32" s="792">
        <v>1002</v>
      </c>
      <c r="B32" s="1202" t="s">
        <v>174</v>
      </c>
      <c r="C32" s="775" t="s">
        <v>164</v>
      </c>
      <c r="D32" s="775" t="s">
        <v>534</v>
      </c>
      <c r="E32" s="775">
        <v>1</v>
      </c>
      <c r="F32" s="775">
        <v>1</v>
      </c>
      <c r="G32" s="775">
        <v>50</v>
      </c>
      <c r="H32" s="789">
        <v>0.83099999999999996</v>
      </c>
      <c r="I32" s="193">
        <v>7.2</v>
      </c>
      <c r="J32" s="193">
        <v>30</v>
      </c>
      <c r="K32" s="777" t="s">
        <v>157</v>
      </c>
      <c r="L32" s="762" t="s">
        <v>153</v>
      </c>
      <c r="M32" s="193">
        <f>ROUND((F32*(I32*G32/3600)),4)</f>
        <v>0.1</v>
      </c>
      <c r="N32" s="193">
        <f>ROUND((E32*(J32*H32/1000)),4)</f>
        <v>2.4899999999999999E-2</v>
      </c>
    </row>
    <row r="33" spans="1:17" s="741" customFormat="1" ht="12" customHeight="1" x14ac:dyDescent="0.2">
      <c r="A33" s="781"/>
      <c r="B33" s="1510"/>
      <c r="C33" s="782"/>
      <c r="D33" s="782"/>
      <c r="E33" s="782"/>
      <c r="F33" s="782"/>
      <c r="G33" s="782"/>
      <c r="H33" s="793"/>
      <c r="I33" s="782">
        <v>10.3</v>
      </c>
      <c r="J33" s="782">
        <v>43</v>
      </c>
      <c r="K33" s="783" t="s">
        <v>165</v>
      </c>
      <c r="L33" s="784" t="s">
        <v>144</v>
      </c>
      <c r="M33" s="224">
        <f>ROUND(((F32*(I33*G32/3600))*0.8),4)</f>
        <v>0.1144</v>
      </c>
      <c r="N33" s="224">
        <f>ROUND(((E32*(J33*H32/1000))*0.8),4)</f>
        <v>2.86E-2</v>
      </c>
      <c r="Q33" s="743"/>
    </row>
    <row r="34" spans="1:17" s="741" customFormat="1" ht="12" customHeight="1" x14ac:dyDescent="0.2">
      <c r="A34" s="782"/>
      <c r="B34" s="1510"/>
      <c r="C34" s="782"/>
      <c r="D34" s="782"/>
      <c r="E34" s="782"/>
      <c r="F34" s="782"/>
      <c r="G34" s="782"/>
      <c r="H34" s="793"/>
      <c r="I34" s="782"/>
      <c r="J34" s="782"/>
      <c r="K34" s="783" t="s">
        <v>166</v>
      </c>
      <c r="L34" s="784" t="s">
        <v>167</v>
      </c>
      <c r="M34" s="224">
        <f>ROUND(((F32*(I33*G32/3600))*0.13),4)</f>
        <v>1.8599999999999998E-2</v>
      </c>
      <c r="N34" s="224">
        <f>ROUND(((E32*(J33*H32/1000))*0.13),4)</f>
        <v>4.5999999999999999E-3</v>
      </c>
    </row>
    <row r="35" spans="1:17" s="741" customFormat="1" ht="12" customHeight="1" x14ac:dyDescent="0.2">
      <c r="A35" s="782"/>
      <c r="B35" s="782"/>
      <c r="C35" s="782"/>
      <c r="D35" s="782"/>
      <c r="E35" s="782"/>
      <c r="F35" s="782"/>
      <c r="G35" s="782"/>
      <c r="H35" s="793"/>
      <c r="I35" s="224">
        <v>3.6</v>
      </c>
      <c r="J35" s="224">
        <v>15</v>
      </c>
      <c r="K35" s="785" t="s">
        <v>1150</v>
      </c>
      <c r="L35" s="786">
        <v>2754</v>
      </c>
      <c r="M35" s="224">
        <f>ROUND((F32*(I35*G32/3600)),4)</f>
        <v>0.05</v>
      </c>
      <c r="N35" s="224">
        <f>ROUND(((E32*(J35*H32/1000))),4)</f>
        <v>1.2500000000000001E-2</v>
      </c>
    </row>
    <row r="36" spans="1:17" s="741" customFormat="1" ht="12" customHeight="1" x14ac:dyDescent="0.2">
      <c r="A36" s="782"/>
      <c r="B36" s="782"/>
      <c r="C36" s="782"/>
      <c r="D36" s="782"/>
      <c r="E36" s="782"/>
      <c r="F36" s="782"/>
      <c r="G36" s="782"/>
      <c r="H36" s="793"/>
      <c r="I36" s="224">
        <v>0.7</v>
      </c>
      <c r="J36" s="224">
        <v>3</v>
      </c>
      <c r="K36" s="787" t="s">
        <v>1151</v>
      </c>
      <c r="L36" s="786" t="s">
        <v>173</v>
      </c>
      <c r="M36" s="224">
        <f>ROUND((F32*(I36*G32/3600)),4)</f>
        <v>9.7000000000000003E-3</v>
      </c>
      <c r="N36" s="224">
        <f>ROUND(((E32*(J36*H32/1000))),4)</f>
        <v>2.5000000000000001E-3</v>
      </c>
    </row>
    <row r="37" spans="1:17" s="741" customFormat="1" ht="12" customHeight="1" x14ac:dyDescent="0.2">
      <c r="A37" s="782"/>
      <c r="B37" s="782"/>
      <c r="C37" s="782"/>
      <c r="D37" s="782"/>
      <c r="E37" s="782"/>
      <c r="F37" s="782"/>
      <c r="G37" s="782"/>
      <c r="H37" s="793"/>
      <c r="I37" s="224">
        <v>1.1000000000000001</v>
      </c>
      <c r="J37" s="224">
        <v>4.5</v>
      </c>
      <c r="K37" s="787" t="s">
        <v>168</v>
      </c>
      <c r="L37" s="786" t="s">
        <v>169</v>
      </c>
      <c r="M37" s="224">
        <f>ROUND((F32*(I37*G32/3600)),4)</f>
        <v>1.5299999999999999E-2</v>
      </c>
      <c r="N37" s="224">
        <f>ROUND(((E32*(J37*H32/1000))),4)</f>
        <v>3.7000000000000002E-3</v>
      </c>
    </row>
    <row r="38" spans="1:17" s="741" customFormat="1" ht="12" customHeight="1" x14ac:dyDescent="0.2">
      <c r="A38" s="782"/>
      <c r="B38" s="782"/>
      <c r="C38" s="782"/>
      <c r="D38" s="782"/>
      <c r="E38" s="782"/>
      <c r="F38" s="782"/>
      <c r="G38" s="782"/>
      <c r="H38" s="793"/>
      <c r="I38" s="789">
        <v>0.15</v>
      </c>
      <c r="J38" s="789">
        <v>0.6</v>
      </c>
      <c r="K38" s="787" t="s">
        <v>170</v>
      </c>
      <c r="L38" s="786" t="s">
        <v>171</v>
      </c>
      <c r="M38" s="224">
        <f>ROUND((F32*(I38*G32/3600)),4)</f>
        <v>2.0999999999999999E-3</v>
      </c>
      <c r="N38" s="224">
        <f>ROUND(((E32*(J38*H32/1000))),5)</f>
        <v>5.0000000000000001E-4</v>
      </c>
    </row>
    <row r="39" spans="1:17" s="741" customFormat="1" ht="12" customHeight="1" x14ac:dyDescent="0.2">
      <c r="A39" s="790"/>
      <c r="B39" s="790"/>
      <c r="C39" s="790"/>
      <c r="D39" s="791"/>
      <c r="E39" s="790"/>
      <c r="F39" s="790"/>
      <c r="G39" s="790"/>
      <c r="H39" s="794"/>
      <c r="I39" s="224">
        <v>1.2999999999999999E-5</v>
      </c>
      <c r="J39" s="224">
        <v>5.5000000000000002E-5</v>
      </c>
      <c r="K39" s="787" t="s">
        <v>1152</v>
      </c>
      <c r="L39" s="786" t="s">
        <v>1153</v>
      </c>
      <c r="M39" s="224">
        <f>ROUND((F32*(I39*G32/3600)),7)</f>
        <v>1.9999999999999999E-7</v>
      </c>
      <c r="N39" s="224">
        <f>ROUND(((E32*(J39*H32/1000))),8)</f>
        <v>4.9999999999999998E-8</v>
      </c>
      <c r="O39" s="741">
        <f>SUM(M32:M39)</f>
        <v>0.31010019999999999</v>
      </c>
      <c r="P39" s="741">
        <f>SUM(N32:N39)</f>
        <v>7.7300049999999995E-2</v>
      </c>
    </row>
    <row r="40" spans="1:17" s="66" customFormat="1" ht="12" customHeight="1" x14ac:dyDescent="0.25">
      <c r="A40" s="1514" t="s">
        <v>8</v>
      </c>
      <c r="B40" s="1515"/>
      <c r="C40" s="1515"/>
      <c r="D40" s="1515"/>
      <c r="E40" s="1515"/>
      <c r="F40" s="1515"/>
      <c r="G40" s="1515"/>
      <c r="H40" s="1515"/>
      <c r="I40" s="1515"/>
      <c r="J40" s="1515"/>
      <c r="K40" s="1515"/>
      <c r="L40" s="1515"/>
      <c r="M40" s="1515"/>
      <c r="N40" s="1516"/>
      <c r="O40" s="736"/>
      <c r="P40" s="737"/>
      <c r="Q40" s="737"/>
    </row>
    <row r="41" spans="1:17" s="780" customFormat="1" ht="12" customHeight="1" x14ac:dyDescent="0.2">
      <c r="A41" s="774" t="s">
        <v>1164</v>
      </c>
      <c r="B41" s="1510" t="s">
        <v>230</v>
      </c>
      <c r="C41" s="775" t="s">
        <v>164</v>
      </c>
      <c r="D41" s="775" t="s">
        <v>1149</v>
      </c>
      <c r="E41" s="775">
        <v>2</v>
      </c>
      <c r="F41" s="775">
        <v>1</v>
      </c>
      <c r="G41" s="775">
        <v>354</v>
      </c>
      <c r="H41" s="775">
        <v>4.5750000000000002</v>
      </c>
      <c r="I41" s="790">
        <v>6.2</v>
      </c>
      <c r="J41" s="790">
        <v>26</v>
      </c>
      <c r="K41" s="777" t="s">
        <v>157</v>
      </c>
      <c r="L41" s="778" t="s">
        <v>153</v>
      </c>
      <c r="M41" s="776">
        <f>ROUND((F41*(I41*G41/3600)),4)</f>
        <v>0.60970000000000002</v>
      </c>
      <c r="N41" s="776">
        <f>ROUND((E41*(J41*H41/1000)),4)</f>
        <v>0.2379</v>
      </c>
    </row>
    <row r="42" spans="1:17" s="741" customFormat="1" ht="12" customHeight="1" x14ac:dyDescent="0.2">
      <c r="A42" s="781"/>
      <c r="B42" s="1510"/>
      <c r="C42" s="782"/>
      <c r="D42" s="782"/>
      <c r="E42" s="782"/>
      <c r="F42" s="782"/>
      <c r="G42" s="782"/>
      <c r="H42" s="782"/>
      <c r="I42" s="782">
        <v>9.6</v>
      </c>
      <c r="J42" s="782">
        <v>40</v>
      </c>
      <c r="K42" s="783" t="s">
        <v>165</v>
      </c>
      <c r="L42" s="784" t="s">
        <v>144</v>
      </c>
      <c r="M42" s="224">
        <f>ROUND(((F41*(I42*G41/3600))*0.8),4)</f>
        <v>0.75519999999999998</v>
      </c>
      <c r="N42" s="224">
        <f>ROUND(((E41*(J42*H41/1000))*0.8),4)</f>
        <v>0.2928</v>
      </c>
      <c r="Q42" s="743"/>
    </row>
    <row r="43" spans="1:17" s="741" customFormat="1" ht="12" customHeight="1" x14ac:dyDescent="0.2">
      <c r="A43" s="782"/>
      <c r="B43" s="1510"/>
      <c r="C43" s="782"/>
      <c r="D43" s="782"/>
      <c r="E43" s="782"/>
      <c r="F43" s="782"/>
      <c r="G43" s="782"/>
      <c r="H43" s="782"/>
      <c r="I43" s="782"/>
      <c r="J43" s="782"/>
      <c r="K43" s="783" t="s">
        <v>166</v>
      </c>
      <c r="L43" s="784" t="s">
        <v>167</v>
      </c>
      <c r="M43" s="224">
        <f>ROUND(((F41*(I42*G41/3600))*0.13),4)</f>
        <v>0.1227</v>
      </c>
      <c r="N43" s="224">
        <f>ROUND(((E41*(J42*H41/1000))*0.13),4)</f>
        <v>4.7600000000000003E-2</v>
      </c>
    </row>
    <row r="44" spans="1:17" s="741" customFormat="1" ht="12" customHeight="1" x14ac:dyDescent="0.2">
      <c r="A44" s="782"/>
      <c r="B44" s="782"/>
      <c r="C44" s="782"/>
      <c r="D44" s="782"/>
      <c r="E44" s="782"/>
      <c r="F44" s="782"/>
      <c r="G44" s="782"/>
      <c r="H44" s="782"/>
      <c r="I44" s="224">
        <v>2.9</v>
      </c>
      <c r="J44" s="224">
        <v>12</v>
      </c>
      <c r="K44" s="785" t="s">
        <v>1150</v>
      </c>
      <c r="L44" s="786">
        <v>2754</v>
      </c>
      <c r="M44" s="224">
        <f>ROUND((F41*(I44*G41/3600)),4)</f>
        <v>0.28520000000000001</v>
      </c>
      <c r="N44" s="224">
        <f>ROUND(((E41*(J44*H41/1000))),4)</f>
        <v>0.10979999999999999</v>
      </c>
    </row>
    <row r="45" spans="1:17" s="741" customFormat="1" ht="12" customHeight="1" x14ac:dyDescent="0.2">
      <c r="A45" s="782"/>
      <c r="B45" s="782"/>
      <c r="C45" s="782"/>
      <c r="D45" s="782"/>
      <c r="E45" s="782"/>
      <c r="F45" s="782"/>
      <c r="G45" s="782"/>
      <c r="H45" s="782"/>
      <c r="I45" s="224">
        <v>0.5</v>
      </c>
      <c r="J45" s="224">
        <v>2</v>
      </c>
      <c r="K45" s="787" t="s">
        <v>1151</v>
      </c>
      <c r="L45" s="786" t="s">
        <v>173</v>
      </c>
      <c r="M45" s="224">
        <f>ROUND((F41*(I45*G41/3600)),4)</f>
        <v>4.9200000000000001E-2</v>
      </c>
      <c r="N45" s="224">
        <f>ROUND(((E41*(J45*H41/1000))),4)</f>
        <v>1.83E-2</v>
      </c>
    </row>
    <row r="46" spans="1:17" s="741" customFormat="1" ht="12" customHeight="1" x14ac:dyDescent="0.2">
      <c r="A46" s="782"/>
      <c r="B46" s="782"/>
      <c r="C46" s="782"/>
      <c r="D46" s="782"/>
      <c r="E46" s="782"/>
      <c r="F46" s="782"/>
      <c r="G46" s="782"/>
      <c r="H46" s="782"/>
      <c r="I46" s="224">
        <v>1.2</v>
      </c>
      <c r="J46" s="224">
        <v>5</v>
      </c>
      <c r="K46" s="787" t="s">
        <v>168</v>
      </c>
      <c r="L46" s="786" t="s">
        <v>169</v>
      </c>
      <c r="M46" s="224">
        <f>ROUND((F41*(I46*G41/3600)),4)</f>
        <v>0.11799999999999999</v>
      </c>
      <c r="N46" s="224">
        <f>ROUND(((E41*(J46*H41/1000))),4)</f>
        <v>4.58E-2</v>
      </c>
    </row>
    <row r="47" spans="1:17" s="741" customFormat="1" ht="12" customHeight="1" x14ac:dyDescent="0.2">
      <c r="A47" s="782"/>
      <c r="B47" s="782"/>
      <c r="C47" s="782"/>
      <c r="D47" s="782"/>
      <c r="E47" s="782"/>
      <c r="F47" s="782"/>
      <c r="G47" s="782"/>
      <c r="H47" s="782"/>
      <c r="I47" s="224">
        <v>0.12</v>
      </c>
      <c r="J47" s="224">
        <v>0.5</v>
      </c>
      <c r="K47" s="787" t="s">
        <v>170</v>
      </c>
      <c r="L47" s="786" t="s">
        <v>171</v>
      </c>
      <c r="M47" s="224">
        <f>ROUND((F41*(I47*G41/3600)),4)</f>
        <v>1.18E-2</v>
      </c>
      <c r="N47" s="224">
        <f>ROUND(((E41*(J47*H41/1000))),5)</f>
        <v>4.5799999999999999E-3</v>
      </c>
    </row>
    <row r="48" spans="1:17" s="741" customFormat="1" ht="12" customHeight="1" x14ac:dyDescent="0.2">
      <c r="A48" s="790"/>
      <c r="B48" s="790"/>
      <c r="C48" s="790"/>
      <c r="D48" s="791"/>
      <c r="E48" s="790"/>
      <c r="F48" s="790"/>
      <c r="G48" s="790"/>
      <c r="H48" s="790"/>
      <c r="I48" s="789">
        <v>1.2E-5</v>
      </c>
      <c r="J48" s="789">
        <v>5.5000000000000002E-5</v>
      </c>
      <c r="K48" s="787" t="s">
        <v>1152</v>
      </c>
      <c r="L48" s="786" t="s">
        <v>1153</v>
      </c>
      <c r="M48" s="224">
        <f>ROUND((F41*(I48*G41/3600)),7)</f>
        <v>1.1999999999999999E-6</v>
      </c>
      <c r="N48" s="224">
        <f>ROUND(((E41*(J48*H41/1000))),7)</f>
        <v>4.9999999999999998E-7</v>
      </c>
      <c r="O48" s="741">
        <f>SUM(M41:M48)</f>
        <v>1.9518012</v>
      </c>
      <c r="P48" s="741">
        <f>SUM(N41:N48)</f>
        <v>0.75678049999999986</v>
      </c>
    </row>
    <row r="49" spans="1:17" s="66" customFormat="1" ht="12" customHeight="1" x14ac:dyDescent="0.25">
      <c r="A49" s="1511" t="s">
        <v>11</v>
      </c>
      <c r="B49" s="1512"/>
      <c r="C49" s="1512"/>
      <c r="D49" s="1512"/>
      <c r="E49" s="1512"/>
      <c r="F49" s="1512"/>
      <c r="G49" s="1512"/>
      <c r="H49" s="1512"/>
      <c r="I49" s="1512"/>
      <c r="J49" s="1512"/>
      <c r="K49" s="1512"/>
      <c r="L49" s="1512"/>
      <c r="M49" s="1512"/>
      <c r="N49" s="1513"/>
      <c r="O49" s="735">
        <f>SUM(O24:O48)</f>
        <v>2.4481014999999999</v>
      </c>
      <c r="P49" s="734">
        <f>SUM(P24:P48)</f>
        <v>0.9036305899999999</v>
      </c>
      <c r="Q49" s="734">
        <v>2026</v>
      </c>
    </row>
    <row r="50" spans="1:17" s="780" customFormat="1" ht="12" customHeight="1" x14ac:dyDescent="0.2">
      <c r="A50" s="792">
        <v>1002</v>
      </c>
      <c r="B50" s="1202" t="s">
        <v>174</v>
      </c>
      <c r="C50" s="775" t="s">
        <v>164</v>
      </c>
      <c r="D50" s="775" t="s">
        <v>534</v>
      </c>
      <c r="E50" s="775">
        <v>1</v>
      </c>
      <c r="F50" s="775">
        <v>1</v>
      </c>
      <c r="G50" s="775">
        <v>50</v>
      </c>
      <c r="H50" s="789">
        <v>0.83099999999999996</v>
      </c>
      <c r="I50" s="193">
        <v>7.2</v>
      </c>
      <c r="J50" s="193">
        <v>30</v>
      </c>
      <c r="K50" s="777" t="s">
        <v>157</v>
      </c>
      <c r="L50" s="762" t="s">
        <v>153</v>
      </c>
      <c r="M50" s="193">
        <f>ROUND((F50*(I50*G50/3600)),4)</f>
        <v>0.1</v>
      </c>
      <c r="N50" s="193">
        <f>ROUND((E50*(J50*H50/1000)),4)</f>
        <v>2.4899999999999999E-2</v>
      </c>
    </row>
    <row r="51" spans="1:17" s="741" customFormat="1" ht="12" customHeight="1" x14ac:dyDescent="0.2">
      <c r="A51" s="781"/>
      <c r="B51" s="1510"/>
      <c r="C51" s="782"/>
      <c r="D51" s="782"/>
      <c r="E51" s="782"/>
      <c r="F51" s="782"/>
      <c r="G51" s="782"/>
      <c r="H51" s="782"/>
      <c r="I51" s="782">
        <v>10.3</v>
      </c>
      <c r="J51" s="782">
        <v>43</v>
      </c>
      <c r="K51" s="783" t="s">
        <v>165</v>
      </c>
      <c r="L51" s="784" t="s">
        <v>144</v>
      </c>
      <c r="M51" s="224">
        <f>ROUND(((F50*(I51*G50/3600))*0.8),4)</f>
        <v>0.1144</v>
      </c>
      <c r="N51" s="224">
        <f>ROUND(((E50*(J51*H50/1000))*0.8),4)</f>
        <v>2.86E-2</v>
      </c>
      <c r="Q51" s="743"/>
    </row>
    <row r="52" spans="1:17" s="741" customFormat="1" ht="12" customHeight="1" x14ac:dyDescent="0.2">
      <c r="A52" s="782"/>
      <c r="B52" s="1510"/>
      <c r="C52" s="782"/>
      <c r="D52" s="782"/>
      <c r="E52" s="782"/>
      <c r="F52" s="782"/>
      <c r="G52" s="782"/>
      <c r="H52" s="782"/>
      <c r="I52" s="782"/>
      <c r="J52" s="782"/>
      <c r="K52" s="783" t="s">
        <v>166</v>
      </c>
      <c r="L52" s="784" t="s">
        <v>167</v>
      </c>
      <c r="M52" s="224">
        <f>ROUND(((F50*(I51*G50/3600))*0.13),4)</f>
        <v>1.8599999999999998E-2</v>
      </c>
      <c r="N52" s="224">
        <f>ROUND(((E50*(J51*H50/1000))*0.13),4)</f>
        <v>4.5999999999999999E-3</v>
      </c>
    </row>
    <row r="53" spans="1:17" s="741" customFormat="1" ht="12" customHeight="1" x14ac:dyDescent="0.2">
      <c r="A53" s="782"/>
      <c r="B53" s="782"/>
      <c r="C53" s="782"/>
      <c r="D53" s="782"/>
      <c r="E53" s="782"/>
      <c r="F53" s="782"/>
      <c r="G53" s="782"/>
      <c r="H53" s="782"/>
      <c r="I53" s="224">
        <v>3.6</v>
      </c>
      <c r="J53" s="224">
        <v>15</v>
      </c>
      <c r="K53" s="785" t="s">
        <v>1150</v>
      </c>
      <c r="L53" s="786">
        <v>2754</v>
      </c>
      <c r="M53" s="224">
        <f>ROUND((F50*(I53*G50/3600)),4)</f>
        <v>0.05</v>
      </c>
      <c r="N53" s="224">
        <f>ROUND(((E50*(J53*H50/1000))),4)</f>
        <v>1.2500000000000001E-2</v>
      </c>
    </row>
    <row r="54" spans="1:17" s="741" customFormat="1" ht="12" customHeight="1" x14ac:dyDescent="0.2">
      <c r="A54" s="782"/>
      <c r="B54" s="782"/>
      <c r="C54" s="782"/>
      <c r="D54" s="782"/>
      <c r="E54" s="782"/>
      <c r="F54" s="782"/>
      <c r="G54" s="782"/>
      <c r="H54" s="782"/>
      <c r="I54" s="224">
        <v>0.7</v>
      </c>
      <c r="J54" s="224">
        <v>3</v>
      </c>
      <c r="K54" s="787" t="s">
        <v>1151</v>
      </c>
      <c r="L54" s="786" t="s">
        <v>173</v>
      </c>
      <c r="M54" s="224">
        <f>ROUND((F50*(I54*G50/3600)),4)</f>
        <v>9.7000000000000003E-3</v>
      </c>
      <c r="N54" s="224">
        <f>ROUND(((E50*(J54*H50/1000))),4)</f>
        <v>2.5000000000000001E-3</v>
      </c>
    </row>
    <row r="55" spans="1:17" s="741" customFormat="1" ht="12" customHeight="1" x14ac:dyDescent="0.2">
      <c r="A55" s="782"/>
      <c r="B55" s="782"/>
      <c r="C55" s="782"/>
      <c r="D55" s="782"/>
      <c r="E55" s="782"/>
      <c r="F55" s="782"/>
      <c r="G55" s="782"/>
      <c r="H55" s="782"/>
      <c r="I55" s="224">
        <v>1.1000000000000001</v>
      </c>
      <c r="J55" s="224">
        <v>4.5</v>
      </c>
      <c r="K55" s="787" t="s">
        <v>168</v>
      </c>
      <c r="L55" s="786" t="s">
        <v>169</v>
      </c>
      <c r="M55" s="224">
        <f>ROUND((F50*(I55*G50/3600)),4)</f>
        <v>1.5299999999999999E-2</v>
      </c>
      <c r="N55" s="224">
        <f>ROUND(((E50*(J55*H50/1000))),4)</f>
        <v>3.7000000000000002E-3</v>
      </c>
    </row>
    <row r="56" spans="1:17" s="741" customFormat="1" ht="12" customHeight="1" x14ac:dyDescent="0.2">
      <c r="A56" s="782"/>
      <c r="B56" s="782"/>
      <c r="C56" s="782"/>
      <c r="D56" s="782"/>
      <c r="E56" s="782"/>
      <c r="F56" s="782"/>
      <c r="G56" s="782"/>
      <c r="H56" s="782"/>
      <c r="I56" s="789">
        <v>0.15</v>
      </c>
      <c r="J56" s="789">
        <v>0.6</v>
      </c>
      <c r="K56" s="787" t="s">
        <v>170</v>
      </c>
      <c r="L56" s="786" t="s">
        <v>171</v>
      </c>
      <c r="M56" s="224">
        <f>ROUND((F50*(I56*G50/3600)),4)</f>
        <v>2.0999999999999999E-3</v>
      </c>
      <c r="N56" s="224">
        <f>ROUND(((E50*(J56*H50/1000))),5)</f>
        <v>5.0000000000000001E-4</v>
      </c>
    </row>
    <row r="57" spans="1:17" s="741" customFormat="1" ht="12" customHeight="1" x14ac:dyDescent="0.2">
      <c r="A57" s="790"/>
      <c r="B57" s="790"/>
      <c r="C57" s="790"/>
      <c r="D57" s="791"/>
      <c r="E57" s="790"/>
      <c r="F57" s="790"/>
      <c r="G57" s="790"/>
      <c r="H57" s="790"/>
      <c r="I57" s="224">
        <v>1.2999999999999999E-5</v>
      </c>
      <c r="J57" s="224">
        <v>5.5000000000000002E-5</v>
      </c>
      <c r="K57" s="787" t="s">
        <v>1152</v>
      </c>
      <c r="L57" s="786" t="s">
        <v>1153</v>
      </c>
      <c r="M57" s="224">
        <f>ROUND((F50*(I57*G50/3600)),7)</f>
        <v>1.9999999999999999E-7</v>
      </c>
      <c r="N57" s="224">
        <f>ROUND(((E50*(J57*H50/1000))),8)</f>
        <v>4.9999999999999998E-8</v>
      </c>
      <c r="O57" s="741">
        <f>SUM(M50:M57)</f>
        <v>0.31010019999999999</v>
      </c>
      <c r="P57" s="741">
        <f>SUM(N50:N57)</f>
        <v>7.7300049999999995E-2</v>
      </c>
    </row>
    <row r="58" spans="1:17" s="780" customFormat="1" ht="12" customHeight="1" x14ac:dyDescent="0.25">
      <c r="A58" s="1514" t="s">
        <v>288</v>
      </c>
      <c r="B58" s="1515"/>
      <c r="C58" s="1515"/>
      <c r="D58" s="1515"/>
      <c r="E58" s="1515"/>
      <c r="F58" s="1515"/>
      <c r="G58" s="1515"/>
      <c r="H58" s="1515"/>
      <c r="I58" s="1515"/>
      <c r="J58" s="1515"/>
      <c r="K58" s="1515"/>
      <c r="L58" s="1515"/>
      <c r="M58" s="1515"/>
      <c r="N58" s="1516"/>
    </row>
    <row r="59" spans="1:17" s="780" customFormat="1" ht="12" customHeight="1" x14ac:dyDescent="0.2">
      <c r="A59" s="774" t="s">
        <v>1165</v>
      </c>
      <c r="B59" s="1510" t="s">
        <v>290</v>
      </c>
      <c r="C59" s="775" t="s">
        <v>164</v>
      </c>
      <c r="D59" s="775" t="s">
        <v>1149</v>
      </c>
      <c r="E59" s="775">
        <v>1</v>
      </c>
      <c r="F59" s="775">
        <v>1</v>
      </c>
      <c r="G59" s="775">
        <v>169</v>
      </c>
      <c r="H59" s="775">
        <v>1.36</v>
      </c>
      <c r="I59" s="790">
        <v>6.2</v>
      </c>
      <c r="J59" s="790">
        <v>26</v>
      </c>
      <c r="K59" s="777" t="s">
        <v>157</v>
      </c>
      <c r="L59" s="778" t="s">
        <v>153</v>
      </c>
      <c r="M59" s="776">
        <f>ROUND((F59*(I59*G59/3600)),4)</f>
        <v>0.29110000000000003</v>
      </c>
      <c r="N59" s="776">
        <f>ROUND((E59*(J59*H59/1000)),4)</f>
        <v>3.5400000000000001E-2</v>
      </c>
    </row>
    <row r="60" spans="1:17" s="741" customFormat="1" ht="12" customHeight="1" x14ac:dyDescent="0.2">
      <c r="A60" s="781"/>
      <c r="B60" s="1510"/>
      <c r="C60" s="782"/>
      <c r="D60" s="782"/>
      <c r="E60" s="782"/>
      <c r="F60" s="782"/>
      <c r="G60" s="782"/>
      <c r="H60" s="782"/>
      <c r="I60" s="782">
        <v>9.6</v>
      </c>
      <c r="J60" s="782">
        <v>40</v>
      </c>
      <c r="K60" s="783" t="s">
        <v>165</v>
      </c>
      <c r="L60" s="784" t="s">
        <v>144</v>
      </c>
      <c r="M60" s="224">
        <f>ROUND(((F59*(I60*G59/3600))*0.8),4)</f>
        <v>0.36049999999999999</v>
      </c>
      <c r="N60" s="224">
        <f>ROUND(((E59*(J60*H59/1000))*0.8),4)</f>
        <v>4.3499999999999997E-2</v>
      </c>
    </row>
    <row r="61" spans="1:17" s="741" customFormat="1" ht="12" customHeight="1" x14ac:dyDescent="0.2">
      <c r="A61" s="782"/>
      <c r="B61" s="1510"/>
      <c r="C61" s="782"/>
      <c r="D61" s="782"/>
      <c r="E61" s="782"/>
      <c r="F61" s="782"/>
      <c r="G61" s="782"/>
      <c r="H61" s="782"/>
      <c r="I61" s="782"/>
      <c r="J61" s="782"/>
      <c r="K61" s="783" t="s">
        <v>166</v>
      </c>
      <c r="L61" s="784" t="s">
        <v>167</v>
      </c>
      <c r="M61" s="224">
        <f>ROUND(((F59*(I60*G59/3600))*0.13),4)</f>
        <v>5.8599999999999999E-2</v>
      </c>
      <c r="N61" s="224">
        <f>ROUND(((E59*(J60*H59/1000))*0.13),4)</f>
        <v>7.1000000000000004E-3</v>
      </c>
    </row>
    <row r="62" spans="1:17" s="741" customFormat="1" ht="12" customHeight="1" x14ac:dyDescent="0.2">
      <c r="A62" s="782"/>
      <c r="B62" s="782"/>
      <c r="C62" s="782"/>
      <c r="D62" s="782"/>
      <c r="E62" s="782"/>
      <c r="F62" s="782"/>
      <c r="G62" s="782"/>
      <c r="H62" s="782"/>
      <c r="I62" s="224">
        <v>2.9</v>
      </c>
      <c r="J62" s="224">
        <v>12</v>
      </c>
      <c r="K62" s="785" t="s">
        <v>1150</v>
      </c>
      <c r="L62" s="786">
        <v>2754</v>
      </c>
      <c r="M62" s="224">
        <f>ROUND((F59*(I62*G59/3600)),4)</f>
        <v>0.1361</v>
      </c>
      <c r="N62" s="224">
        <f>ROUND(((E59*(J62*H59/1000))),4)</f>
        <v>1.6299999999999999E-2</v>
      </c>
    </row>
    <row r="63" spans="1:17" s="741" customFormat="1" ht="12" customHeight="1" x14ac:dyDescent="0.2">
      <c r="A63" s="782"/>
      <c r="B63" s="782"/>
      <c r="C63" s="782"/>
      <c r="D63" s="782"/>
      <c r="E63" s="782"/>
      <c r="F63" s="782"/>
      <c r="G63" s="782"/>
      <c r="H63" s="782"/>
      <c r="I63" s="224">
        <v>0.5</v>
      </c>
      <c r="J63" s="224">
        <v>2</v>
      </c>
      <c r="K63" s="787" t="s">
        <v>1151</v>
      </c>
      <c r="L63" s="786" t="s">
        <v>173</v>
      </c>
      <c r="M63" s="224">
        <f>ROUND((F59*(I63*G59/3600)),4)</f>
        <v>2.35E-2</v>
      </c>
      <c r="N63" s="224">
        <f>ROUND(((E59*(J63*H59/1000))),4)</f>
        <v>2.7000000000000001E-3</v>
      </c>
    </row>
    <row r="64" spans="1:17" s="741" customFormat="1" ht="12" customHeight="1" x14ac:dyDescent="0.2">
      <c r="A64" s="782"/>
      <c r="B64" s="782"/>
      <c r="C64" s="782"/>
      <c r="D64" s="782"/>
      <c r="E64" s="782"/>
      <c r="F64" s="782"/>
      <c r="G64" s="782"/>
      <c r="H64" s="782"/>
      <c r="I64" s="224">
        <v>1.2</v>
      </c>
      <c r="J64" s="224">
        <v>5</v>
      </c>
      <c r="K64" s="787" t="s">
        <v>168</v>
      </c>
      <c r="L64" s="786" t="s">
        <v>169</v>
      </c>
      <c r="M64" s="224">
        <f>ROUND((F59*(I64*G59/3600)),4)</f>
        <v>5.6300000000000003E-2</v>
      </c>
      <c r="N64" s="224">
        <f>ROUND(((E59*(J64*H59/1000))),4)</f>
        <v>6.7999999999999996E-3</v>
      </c>
    </row>
    <row r="65" spans="1:17" s="741" customFormat="1" ht="12" customHeight="1" x14ac:dyDescent="0.2">
      <c r="A65" s="782"/>
      <c r="B65" s="782"/>
      <c r="C65" s="782"/>
      <c r="D65" s="782"/>
      <c r="E65" s="782"/>
      <c r="F65" s="782"/>
      <c r="G65" s="782"/>
      <c r="H65" s="782"/>
      <c r="I65" s="224">
        <v>0.12</v>
      </c>
      <c r="J65" s="224">
        <v>0.5</v>
      </c>
      <c r="K65" s="787" t="s">
        <v>170</v>
      </c>
      <c r="L65" s="786" t="s">
        <v>171</v>
      </c>
      <c r="M65" s="224">
        <f>ROUND((F59*(I65*G59/3600)),4)</f>
        <v>5.5999999999999999E-3</v>
      </c>
      <c r="N65" s="224">
        <f>ROUND(((E59*(J65*H59/1000))),5)</f>
        <v>6.8000000000000005E-4</v>
      </c>
    </row>
    <row r="66" spans="1:17" s="741" customFormat="1" ht="11.25" customHeight="1" x14ac:dyDescent="0.2">
      <c r="A66" s="790"/>
      <c r="B66" s="790"/>
      <c r="C66" s="790"/>
      <c r="D66" s="791"/>
      <c r="E66" s="790"/>
      <c r="F66" s="790"/>
      <c r="G66" s="790"/>
      <c r="H66" s="790"/>
      <c r="I66" s="789">
        <v>1.2E-5</v>
      </c>
      <c r="J66" s="789">
        <v>5.5000000000000002E-5</v>
      </c>
      <c r="K66" s="787" t="s">
        <v>1152</v>
      </c>
      <c r="L66" s="786" t="s">
        <v>1153</v>
      </c>
      <c r="M66" s="224">
        <f>ROUND((F59*(I66*G59/3600)),7)</f>
        <v>5.9999999999999997E-7</v>
      </c>
      <c r="N66" s="224">
        <f>ROUND(((E59*(J66*H59/1000))),7)</f>
        <v>9.9999999999999995E-8</v>
      </c>
      <c r="O66" s="741">
        <f>SUM(M59:M66)</f>
        <v>0.93170059999999999</v>
      </c>
      <c r="P66" s="741">
        <f>SUM(N59:N66)</f>
        <v>0.11248009999999999</v>
      </c>
    </row>
    <row r="67" spans="1:17" s="804" customFormat="1" ht="12" customHeight="1" x14ac:dyDescent="0.25">
      <c r="A67" s="1511" t="s">
        <v>60</v>
      </c>
      <c r="B67" s="1512"/>
      <c r="C67" s="1512"/>
      <c r="D67" s="1512"/>
      <c r="E67" s="1512"/>
      <c r="F67" s="1512"/>
      <c r="G67" s="1512"/>
      <c r="H67" s="1512"/>
      <c r="I67" s="1512"/>
      <c r="J67" s="1512"/>
      <c r="K67" s="1512"/>
      <c r="L67" s="1512"/>
      <c r="M67" s="1512"/>
      <c r="N67" s="1513"/>
      <c r="O67" s="802">
        <f>SUM(O50:O66)</f>
        <v>1.2418008</v>
      </c>
      <c r="P67" s="803">
        <f>SUM(P50:P66)</f>
        <v>0.18978014999999998</v>
      </c>
      <c r="Q67" s="803">
        <v>2027</v>
      </c>
    </row>
    <row r="68" spans="1:17" s="780" customFormat="1" ht="12" customHeight="1" x14ac:dyDescent="0.2">
      <c r="A68" s="792">
        <v>1002</v>
      </c>
      <c r="B68" s="1202" t="s">
        <v>174</v>
      </c>
      <c r="C68" s="775" t="s">
        <v>164</v>
      </c>
      <c r="D68" s="775" t="s">
        <v>534</v>
      </c>
      <c r="E68" s="775">
        <v>2</v>
      </c>
      <c r="F68" s="775">
        <v>1</v>
      </c>
      <c r="G68" s="775">
        <v>50</v>
      </c>
      <c r="H68" s="789">
        <v>0.72699999999999998</v>
      </c>
      <c r="I68" s="193">
        <v>7.2</v>
      </c>
      <c r="J68" s="193">
        <v>30</v>
      </c>
      <c r="K68" s="777" t="s">
        <v>157</v>
      </c>
      <c r="L68" s="762" t="s">
        <v>153</v>
      </c>
      <c r="M68" s="193">
        <f>ROUND((F68*(I68*G68/3600)),4)</f>
        <v>0.1</v>
      </c>
      <c r="N68" s="193">
        <f>ROUND((E68*(J68*H68/1000)),4)</f>
        <v>4.36E-2</v>
      </c>
    </row>
    <row r="69" spans="1:17" s="741" customFormat="1" ht="12" customHeight="1" x14ac:dyDescent="0.2">
      <c r="A69" s="781"/>
      <c r="B69" s="1510"/>
      <c r="C69" s="782"/>
      <c r="D69" s="782"/>
      <c r="E69" s="782"/>
      <c r="F69" s="782"/>
      <c r="G69" s="782"/>
      <c r="H69" s="782"/>
      <c r="I69" s="782">
        <v>10.3</v>
      </c>
      <c r="J69" s="782">
        <v>43</v>
      </c>
      <c r="K69" s="783" t="s">
        <v>165</v>
      </c>
      <c r="L69" s="784" t="s">
        <v>144</v>
      </c>
      <c r="M69" s="224">
        <f>ROUND(((F68*(I69*G68/3600))*0.8),4)</f>
        <v>0.1144</v>
      </c>
      <c r="N69" s="224">
        <f>ROUND(((E68*(J69*H68/1000))*0.8),4)</f>
        <v>0.05</v>
      </c>
      <c r="Q69" s="743"/>
    </row>
    <row r="70" spans="1:17" s="741" customFormat="1" ht="12" customHeight="1" x14ac:dyDescent="0.2">
      <c r="A70" s="782"/>
      <c r="B70" s="1510"/>
      <c r="C70" s="782"/>
      <c r="D70" s="782"/>
      <c r="E70" s="782"/>
      <c r="F70" s="782"/>
      <c r="G70" s="782"/>
      <c r="H70" s="782"/>
      <c r="I70" s="782"/>
      <c r="J70" s="782"/>
      <c r="K70" s="783" t="s">
        <v>166</v>
      </c>
      <c r="L70" s="784" t="s">
        <v>167</v>
      </c>
      <c r="M70" s="224">
        <f>ROUND(((F68*(I69*G68/3600))*0.13),4)</f>
        <v>1.8599999999999998E-2</v>
      </c>
      <c r="N70" s="224">
        <f>ROUND(((E68*(J69*H68/1000))*0.13),4)</f>
        <v>8.0999999999999996E-3</v>
      </c>
    </row>
    <row r="71" spans="1:17" s="741" customFormat="1" ht="12" customHeight="1" x14ac:dyDescent="0.2">
      <c r="A71" s="782"/>
      <c r="B71" s="782"/>
      <c r="C71" s="782"/>
      <c r="D71" s="782"/>
      <c r="E71" s="782"/>
      <c r="F71" s="782"/>
      <c r="G71" s="782"/>
      <c r="H71" s="782"/>
      <c r="I71" s="224">
        <v>3.6</v>
      </c>
      <c r="J71" s="224">
        <v>15</v>
      </c>
      <c r="K71" s="785" t="s">
        <v>1150</v>
      </c>
      <c r="L71" s="786">
        <v>2754</v>
      </c>
      <c r="M71" s="224">
        <f>ROUND((F68*(I71*G68/3600)),4)</f>
        <v>0.05</v>
      </c>
      <c r="N71" s="224">
        <f>ROUND(((E68*(J71*H68/1000))),4)</f>
        <v>2.18E-2</v>
      </c>
    </row>
    <row r="72" spans="1:17" s="741" customFormat="1" ht="12" customHeight="1" x14ac:dyDescent="0.2">
      <c r="A72" s="782"/>
      <c r="B72" s="782"/>
      <c r="C72" s="782"/>
      <c r="D72" s="782"/>
      <c r="E72" s="782"/>
      <c r="F72" s="782"/>
      <c r="G72" s="782"/>
      <c r="H72" s="782"/>
      <c r="I72" s="224">
        <v>0.7</v>
      </c>
      <c r="J72" s="224">
        <v>3</v>
      </c>
      <c r="K72" s="787" t="s">
        <v>1151</v>
      </c>
      <c r="L72" s="786" t="s">
        <v>173</v>
      </c>
      <c r="M72" s="224">
        <f>ROUND((F68*(I72*G68/3600)),4)</f>
        <v>9.7000000000000003E-3</v>
      </c>
      <c r="N72" s="224">
        <f>ROUND(((E68*(J72*H68/1000))),4)</f>
        <v>4.4000000000000003E-3</v>
      </c>
    </row>
    <row r="73" spans="1:17" s="741" customFormat="1" ht="12" customHeight="1" x14ac:dyDescent="0.2">
      <c r="A73" s="782"/>
      <c r="B73" s="782"/>
      <c r="C73" s="782"/>
      <c r="D73" s="782"/>
      <c r="E73" s="782"/>
      <c r="F73" s="782"/>
      <c r="G73" s="782"/>
      <c r="H73" s="782"/>
      <c r="I73" s="224">
        <v>1.1000000000000001</v>
      </c>
      <c r="J73" s="224">
        <v>4.5</v>
      </c>
      <c r="K73" s="787" t="s">
        <v>168</v>
      </c>
      <c r="L73" s="786" t="s">
        <v>169</v>
      </c>
      <c r="M73" s="224">
        <f>ROUND((F68*(I73*G68/3600)),4)</f>
        <v>1.5299999999999999E-2</v>
      </c>
      <c r="N73" s="224">
        <f>ROUND(((E68*(J73*H68/1000))),4)</f>
        <v>6.4999999999999997E-3</v>
      </c>
    </row>
    <row r="74" spans="1:17" s="741" customFormat="1" ht="12" customHeight="1" x14ac:dyDescent="0.2">
      <c r="A74" s="782"/>
      <c r="B74" s="782"/>
      <c r="C74" s="782"/>
      <c r="D74" s="782"/>
      <c r="E74" s="782"/>
      <c r="F74" s="782"/>
      <c r="G74" s="782"/>
      <c r="H74" s="782"/>
      <c r="I74" s="789">
        <v>0.15</v>
      </c>
      <c r="J74" s="789">
        <v>0.6</v>
      </c>
      <c r="K74" s="787" t="s">
        <v>170</v>
      </c>
      <c r="L74" s="786" t="s">
        <v>171</v>
      </c>
      <c r="M74" s="224">
        <f>ROUND((F68*(I74*G68/3600)),4)</f>
        <v>2.0999999999999999E-3</v>
      </c>
      <c r="N74" s="224">
        <f>ROUND(((E68*(J74*H68/1000))),5)</f>
        <v>8.7000000000000001E-4</v>
      </c>
    </row>
    <row r="75" spans="1:17" s="741" customFormat="1" ht="12" customHeight="1" x14ac:dyDescent="0.2">
      <c r="A75" s="790"/>
      <c r="B75" s="790"/>
      <c r="C75" s="790"/>
      <c r="D75" s="791"/>
      <c r="E75" s="790"/>
      <c r="F75" s="790"/>
      <c r="G75" s="790"/>
      <c r="H75" s="790"/>
      <c r="I75" s="224">
        <v>1.2999999999999999E-5</v>
      </c>
      <c r="J75" s="224">
        <v>5.5000000000000002E-5</v>
      </c>
      <c r="K75" s="787" t="s">
        <v>1152</v>
      </c>
      <c r="L75" s="786" t="s">
        <v>1153</v>
      </c>
      <c r="M75" s="224">
        <f>ROUND((F68*(I75*G68/3600)),7)</f>
        <v>1.9999999999999999E-7</v>
      </c>
      <c r="N75" s="224">
        <f>ROUND(((E68*(J75*H68/1000))),7)</f>
        <v>9.9999999999999995E-8</v>
      </c>
      <c r="O75" s="741">
        <f>SUM(M68:M75)</f>
        <v>0.31010019999999999</v>
      </c>
      <c r="P75" s="741">
        <f>SUM(N68:N75)</f>
        <v>0.1352701</v>
      </c>
    </row>
    <row r="76" spans="1:17" s="780" customFormat="1" ht="12" customHeight="1" x14ac:dyDescent="0.25">
      <c r="A76" s="1511" t="s">
        <v>63</v>
      </c>
      <c r="B76" s="1512"/>
      <c r="C76" s="1512"/>
      <c r="D76" s="1512"/>
      <c r="E76" s="1512"/>
      <c r="F76" s="1512"/>
      <c r="G76" s="1512"/>
      <c r="H76" s="1512"/>
      <c r="I76" s="1512"/>
      <c r="J76" s="1512"/>
      <c r="K76" s="1512"/>
      <c r="L76" s="1512"/>
      <c r="M76" s="1512"/>
      <c r="N76" s="1513"/>
      <c r="O76" s="800">
        <f>SUM(O68:O75)</f>
        <v>0.31010019999999999</v>
      </c>
      <c r="P76" s="801">
        <f>SUM(P68:P75)</f>
        <v>0.1352701</v>
      </c>
      <c r="Q76" s="801">
        <v>2028</v>
      </c>
    </row>
    <row r="77" spans="1:17" s="780" customFormat="1" ht="12" customHeight="1" x14ac:dyDescent="0.2">
      <c r="A77" s="792">
        <v>1002</v>
      </c>
      <c r="B77" s="1202" t="s">
        <v>174</v>
      </c>
      <c r="C77" s="775" t="s">
        <v>164</v>
      </c>
      <c r="D77" s="775" t="s">
        <v>534</v>
      </c>
      <c r="E77" s="775">
        <v>2</v>
      </c>
      <c r="F77" s="775">
        <v>1</v>
      </c>
      <c r="G77" s="775">
        <v>50</v>
      </c>
      <c r="H77" s="789">
        <v>0.51900000000000002</v>
      </c>
      <c r="I77" s="193">
        <v>7.2</v>
      </c>
      <c r="J77" s="193">
        <v>30</v>
      </c>
      <c r="K77" s="777" t="s">
        <v>157</v>
      </c>
      <c r="L77" s="762" t="s">
        <v>153</v>
      </c>
      <c r="M77" s="193">
        <f>ROUND((F77*(I77*G77/3600)),4)</f>
        <v>0.1</v>
      </c>
      <c r="N77" s="193">
        <f>ROUND((E77*(J77*H77/1000)),4)</f>
        <v>3.1099999999999999E-2</v>
      </c>
    </row>
    <row r="78" spans="1:17" s="741" customFormat="1" ht="12" customHeight="1" x14ac:dyDescent="0.2">
      <c r="A78" s="781"/>
      <c r="B78" s="1510"/>
      <c r="C78" s="782"/>
      <c r="D78" s="782"/>
      <c r="E78" s="782"/>
      <c r="F78" s="782"/>
      <c r="G78" s="782"/>
      <c r="H78" s="782"/>
      <c r="I78" s="782">
        <v>10.3</v>
      </c>
      <c r="J78" s="782">
        <v>43</v>
      </c>
      <c r="K78" s="783" t="s">
        <v>165</v>
      </c>
      <c r="L78" s="784" t="s">
        <v>144</v>
      </c>
      <c r="M78" s="224">
        <f>ROUND(((F77*(I78*G77/3600))*0.8),4)</f>
        <v>0.1144</v>
      </c>
      <c r="N78" s="224">
        <f>ROUND(((E77*(J78*H77/1000))*0.8),4)</f>
        <v>3.5700000000000003E-2</v>
      </c>
      <c r="Q78" s="743"/>
    </row>
    <row r="79" spans="1:17" s="741" customFormat="1" ht="12" customHeight="1" x14ac:dyDescent="0.2">
      <c r="A79" s="782"/>
      <c r="B79" s="1510"/>
      <c r="C79" s="782"/>
      <c r="D79" s="782"/>
      <c r="E79" s="782"/>
      <c r="F79" s="782"/>
      <c r="G79" s="782"/>
      <c r="H79" s="782"/>
      <c r="I79" s="782"/>
      <c r="J79" s="782"/>
      <c r="K79" s="783" t="s">
        <v>166</v>
      </c>
      <c r="L79" s="784" t="s">
        <v>167</v>
      </c>
      <c r="M79" s="224">
        <f>ROUND(((F77*(I78*G77/3600))*0.13),4)</f>
        <v>1.8599999999999998E-2</v>
      </c>
      <c r="N79" s="224">
        <f>ROUND(((E77*(J78*H77/1000))*0.13),4)</f>
        <v>5.7999999999999996E-3</v>
      </c>
    </row>
    <row r="80" spans="1:17" s="741" customFormat="1" ht="12" customHeight="1" x14ac:dyDescent="0.2">
      <c r="A80" s="782"/>
      <c r="B80" s="782"/>
      <c r="C80" s="782"/>
      <c r="D80" s="782"/>
      <c r="E80" s="782"/>
      <c r="F80" s="782"/>
      <c r="G80" s="782"/>
      <c r="H80" s="782"/>
      <c r="I80" s="224">
        <v>3.6</v>
      </c>
      <c r="J80" s="224">
        <v>15</v>
      </c>
      <c r="K80" s="785" t="s">
        <v>1150</v>
      </c>
      <c r="L80" s="786">
        <v>2754</v>
      </c>
      <c r="M80" s="224">
        <f>ROUND((F77*(I80*G77/3600)),4)</f>
        <v>0.05</v>
      </c>
      <c r="N80" s="224">
        <f>ROUND(((E77*(J80*H77/1000))),4)</f>
        <v>1.5599999999999999E-2</v>
      </c>
    </row>
    <row r="81" spans="1:17" s="741" customFormat="1" ht="12" customHeight="1" x14ac:dyDescent="0.2">
      <c r="A81" s="782"/>
      <c r="B81" s="782"/>
      <c r="C81" s="782"/>
      <c r="D81" s="782"/>
      <c r="E81" s="782"/>
      <c r="F81" s="782"/>
      <c r="G81" s="782"/>
      <c r="H81" s="782"/>
      <c r="I81" s="224">
        <v>0.7</v>
      </c>
      <c r="J81" s="224">
        <v>3</v>
      </c>
      <c r="K81" s="787" t="s">
        <v>1151</v>
      </c>
      <c r="L81" s="786" t="s">
        <v>173</v>
      </c>
      <c r="M81" s="224">
        <f>ROUND((F77*(I81*G77/3600)),4)</f>
        <v>9.7000000000000003E-3</v>
      </c>
      <c r="N81" s="224">
        <f>ROUND(((E77*(J81*H77/1000))),4)</f>
        <v>3.0999999999999999E-3</v>
      </c>
    </row>
    <row r="82" spans="1:17" s="741" customFormat="1" ht="12" customHeight="1" x14ac:dyDescent="0.2">
      <c r="A82" s="782"/>
      <c r="B82" s="782"/>
      <c r="C82" s="782"/>
      <c r="D82" s="782"/>
      <c r="E82" s="782"/>
      <c r="F82" s="782"/>
      <c r="G82" s="782"/>
      <c r="H82" s="782"/>
      <c r="I82" s="224">
        <v>1.1000000000000001</v>
      </c>
      <c r="J82" s="224">
        <v>4.5</v>
      </c>
      <c r="K82" s="787" t="s">
        <v>168</v>
      </c>
      <c r="L82" s="786" t="s">
        <v>169</v>
      </c>
      <c r="M82" s="224">
        <f>ROUND((F77*(I82*G77/3600)),4)</f>
        <v>1.5299999999999999E-2</v>
      </c>
      <c r="N82" s="224">
        <f>ROUND(((E77*(J82*H77/1000))),4)</f>
        <v>4.7000000000000002E-3</v>
      </c>
    </row>
    <row r="83" spans="1:17" s="741" customFormat="1" ht="12" customHeight="1" x14ac:dyDescent="0.2">
      <c r="A83" s="782"/>
      <c r="B83" s="782"/>
      <c r="C83" s="782"/>
      <c r="D83" s="782"/>
      <c r="E83" s="782"/>
      <c r="F83" s="782"/>
      <c r="G83" s="782"/>
      <c r="H83" s="782"/>
      <c r="I83" s="789">
        <v>0.15</v>
      </c>
      <c r="J83" s="789">
        <v>0.6</v>
      </c>
      <c r="K83" s="787" t="s">
        <v>170</v>
      </c>
      <c r="L83" s="786" t="s">
        <v>171</v>
      </c>
      <c r="M83" s="224">
        <f>ROUND((F77*(I83*G77/3600)),4)</f>
        <v>2.0999999999999999E-3</v>
      </c>
      <c r="N83" s="224">
        <f>ROUND(((E77*(J83*H77/1000))),5)</f>
        <v>6.2E-4</v>
      </c>
    </row>
    <row r="84" spans="1:17" s="741" customFormat="1" ht="12" customHeight="1" x14ac:dyDescent="0.2">
      <c r="A84" s="790"/>
      <c r="B84" s="790"/>
      <c r="C84" s="790"/>
      <c r="D84" s="791"/>
      <c r="E84" s="790"/>
      <c r="F84" s="790"/>
      <c r="G84" s="790"/>
      <c r="H84" s="790"/>
      <c r="I84" s="224">
        <v>1.2999999999999999E-5</v>
      </c>
      <c r="J84" s="224">
        <v>5.5000000000000002E-5</v>
      </c>
      <c r="K84" s="787" t="s">
        <v>1152</v>
      </c>
      <c r="L84" s="786" t="s">
        <v>1153</v>
      </c>
      <c r="M84" s="224">
        <f>ROUND((F77*(I84*G77/3600)),7)</f>
        <v>1.9999999999999999E-7</v>
      </c>
      <c r="N84" s="224">
        <f>ROUND(((E77*(J84*H77/1000))),7)</f>
        <v>9.9999999999999995E-8</v>
      </c>
      <c r="O84" s="741">
        <f>SUM(M77:M84)</f>
        <v>0.31010019999999999</v>
      </c>
      <c r="P84" s="741">
        <f>SUM(N77:N84)</f>
        <v>9.66201E-2</v>
      </c>
    </row>
    <row r="85" spans="1:17" s="780" customFormat="1" ht="12" customHeight="1" x14ac:dyDescent="0.25">
      <c r="A85" s="1511" t="s">
        <v>302</v>
      </c>
      <c r="B85" s="1512"/>
      <c r="C85" s="1512"/>
      <c r="D85" s="1512"/>
      <c r="E85" s="1512"/>
      <c r="F85" s="1512"/>
      <c r="G85" s="1512"/>
      <c r="H85" s="1512"/>
      <c r="I85" s="1512"/>
      <c r="J85" s="1512"/>
      <c r="K85" s="1512"/>
      <c r="L85" s="1512"/>
      <c r="M85" s="1512"/>
      <c r="N85" s="1513"/>
    </row>
    <row r="86" spans="1:17" s="780" customFormat="1" ht="12" customHeight="1" x14ac:dyDescent="0.2">
      <c r="A86" s="774" t="s">
        <v>1166</v>
      </c>
      <c r="B86" s="1510" t="s">
        <v>290</v>
      </c>
      <c r="C86" s="775" t="s">
        <v>164</v>
      </c>
      <c r="D86" s="775" t="s">
        <v>1149</v>
      </c>
      <c r="E86" s="775">
        <v>1</v>
      </c>
      <c r="F86" s="775">
        <v>1</v>
      </c>
      <c r="G86" s="775">
        <v>169</v>
      </c>
      <c r="H86" s="775">
        <v>1.0900000000000001</v>
      </c>
      <c r="I86" s="790">
        <v>6.2</v>
      </c>
      <c r="J86" s="790">
        <v>26</v>
      </c>
      <c r="K86" s="777" t="s">
        <v>157</v>
      </c>
      <c r="L86" s="778" t="s">
        <v>153</v>
      </c>
      <c r="M86" s="776">
        <f>ROUND((F86*(I86*G86/3600)),4)</f>
        <v>0.29110000000000003</v>
      </c>
      <c r="N86" s="776">
        <f>ROUND((E86*(J86*H86/1000)),4)</f>
        <v>2.8299999999999999E-2</v>
      </c>
    </row>
    <row r="87" spans="1:17" s="741" customFormat="1" ht="12" customHeight="1" x14ac:dyDescent="0.2">
      <c r="A87" s="781"/>
      <c r="B87" s="1510"/>
      <c r="C87" s="782"/>
      <c r="D87" s="782"/>
      <c r="E87" s="782"/>
      <c r="F87" s="782"/>
      <c r="G87" s="782"/>
      <c r="H87" s="782"/>
      <c r="I87" s="782">
        <v>9.6</v>
      </c>
      <c r="J87" s="782">
        <v>40</v>
      </c>
      <c r="K87" s="783" t="s">
        <v>165</v>
      </c>
      <c r="L87" s="784" t="s">
        <v>144</v>
      </c>
      <c r="M87" s="224">
        <f>ROUND(((F86*(I87*G86/3600))*0.8),4)</f>
        <v>0.36049999999999999</v>
      </c>
      <c r="N87" s="224">
        <f>ROUND(((E86*(J87*H86/1000))*0.8),4)</f>
        <v>3.49E-2</v>
      </c>
    </row>
    <row r="88" spans="1:17" s="741" customFormat="1" ht="12" customHeight="1" x14ac:dyDescent="0.2">
      <c r="A88" s="782"/>
      <c r="B88" s="1510"/>
      <c r="C88" s="782"/>
      <c r="D88" s="782"/>
      <c r="E88" s="782"/>
      <c r="F88" s="782"/>
      <c r="G88" s="782"/>
      <c r="H88" s="782"/>
      <c r="I88" s="782"/>
      <c r="J88" s="782"/>
      <c r="K88" s="783" t="s">
        <v>166</v>
      </c>
      <c r="L88" s="784" t="s">
        <v>167</v>
      </c>
      <c r="M88" s="224">
        <f>ROUND(((F86*(I87*G86/3600))*0.13),4)</f>
        <v>5.8599999999999999E-2</v>
      </c>
      <c r="N88" s="224">
        <f>ROUND(((E86*(J87*H86/1000))*0.13),4)</f>
        <v>5.7000000000000002E-3</v>
      </c>
    </row>
    <row r="89" spans="1:17" s="741" customFormat="1" ht="12" customHeight="1" x14ac:dyDescent="0.2">
      <c r="A89" s="782"/>
      <c r="B89" s="782"/>
      <c r="C89" s="782"/>
      <c r="D89" s="782"/>
      <c r="E89" s="782"/>
      <c r="F89" s="782"/>
      <c r="G89" s="782"/>
      <c r="H89" s="782"/>
      <c r="I89" s="224">
        <v>2.9</v>
      </c>
      <c r="J89" s="224">
        <v>12</v>
      </c>
      <c r="K89" s="785" t="s">
        <v>1150</v>
      </c>
      <c r="L89" s="786">
        <v>2754</v>
      </c>
      <c r="M89" s="224">
        <f>ROUND((F86*(I89*G86/3600)),4)</f>
        <v>0.1361</v>
      </c>
      <c r="N89" s="224">
        <f>ROUND(((E86*(J89*H86/1000))),4)</f>
        <v>1.3100000000000001E-2</v>
      </c>
    </row>
    <row r="90" spans="1:17" s="741" customFormat="1" ht="12" customHeight="1" x14ac:dyDescent="0.2">
      <c r="A90" s="782"/>
      <c r="B90" s="782"/>
      <c r="C90" s="782"/>
      <c r="D90" s="782"/>
      <c r="E90" s="782"/>
      <c r="F90" s="782"/>
      <c r="G90" s="782"/>
      <c r="H90" s="782"/>
      <c r="I90" s="224">
        <v>0.5</v>
      </c>
      <c r="J90" s="224">
        <v>2</v>
      </c>
      <c r="K90" s="787" t="s">
        <v>1151</v>
      </c>
      <c r="L90" s="786" t="s">
        <v>173</v>
      </c>
      <c r="M90" s="224">
        <f>ROUND((F86*(I90*G86/3600)),4)</f>
        <v>2.35E-2</v>
      </c>
      <c r="N90" s="224">
        <f>ROUND(((E86*(J90*H86/1000))),4)</f>
        <v>2.2000000000000001E-3</v>
      </c>
    </row>
    <row r="91" spans="1:17" s="741" customFormat="1" ht="12" customHeight="1" x14ac:dyDescent="0.2">
      <c r="A91" s="782"/>
      <c r="B91" s="782"/>
      <c r="C91" s="782"/>
      <c r="D91" s="782"/>
      <c r="E91" s="782"/>
      <c r="F91" s="782"/>
      <c r="G91" s="782"/>
      <c r="H91" s="782"/>
      <c r="I91" s="224">
        <v>1.2</v>
      </c>
      <c r="J91" s="224">
        <v>5</v>
      </c>
      <c r="K91" s="787" t="s">
        <v>168</v>
      </c>
      <c r="L91" s="786" t="s">
        <v>169</v>
      </c>
      <c r="M91" s="224">
        <f>ROUND((F86*(I91*G86/3600)),4)</f>
        <v>5.6300000000000003E-2</v>
      </c>
      <c r="N91" s="224">
        <f>ROUND(((E86*(J91*H86/1000))),4)</f>
        <v>5.4999999999999997E-3</v>
      </c>
    </row>
    <row r="92" spans="1:17" s="741" customFormat="1" ht="12" customHeight="1" x14ac:dyDescent="0.2">
      <c r="A92" s="782"/>
      <c r="B92" s="782"/>
      <c r="C92" s="782"/>
      <c r="D92" s="782"/>
      <c r="E92" s="782"/>
      <c r="F92" s="782"/>
      <c r="G92" s="782"/>
      <c r="H92" s="782"/>
      <c r="I92" s="224">
        <v>0.12</v>
      </c>
      <c r="J92" s="224">
        <v>0.5</v>
      </c>
      <c r="K92" s="787" t="s">
        <v>170</v>
      </c>
      <c r="L92" s="786" t="s">
        <v>171</v>
      </c>
      <c r="M92" s="224">
        <f>ROUND((F86*(I92*G86/3600)),4)</f>
        <v>5.5999999999999999E-3</v>
      </c>
      <c r="N92" s="224">
        <f>ROUND(((E86*(J92*H86/1000))),5)</f>
        <v>5.5000000000000003E-4</v>
      </c>
    </row>
    <row r="93" spans="1:17" s="741" customFormat="1" ht="11.25" customHeight="1" x14ac:dyDescent="0.2">
      <c r="A93" s="790"/>
      <c r="B93" s="790"/>
      <c r="C93" s="790"/>
      <c r="D93" s="791"/>
      <c r="E93" s="790"/>
      <c r="F93" s="790"/>
      <c r="G93" s="790"/>
      <c r="H93" s="790"/>
      <c r="I93" s="224">
        <v>1.2E-5</v>
      </c>
      <c r="J93" s="224">
        <v>5.5000000000000002E-5</v>
      </c>
      <c r="K93" s="787" t="s">
        <v>1152</v>
      </c>
      <c r="L93" s="786" t="s">
        <v>1153</v>
      </c>
      <c r="M93" s="224">
        <f>ROUND((F86*(I93*G86/3600)),7)</f>
        <v>5.9999999999999997E-7</v>
      </c>
      <c r="N93" s="224">
        <f>ROUND(((E86*(J93*H86/1000))),7)</f>
        <v>9.9999999999999995E-8</v>
      </c>
      <c r="O93" s="741">
        <f>SUM(M86:M93)</f>
        <v>0.93170059999999999</v>
      </c>
      <c r="P93" s="741">
        <f>SUM(N86:N93)</f>
        <v>9.02501E-2</v>
      </c>
    </row>
    <row r="94" spans="1:17" x14ac:dyDescent="0.2">
      <c r="O94" s="735">
        <f>SUM(O77:O93)</f>
        <v>1.2418008</v>
      </c>
      <c r="P94" s="734">
        <f>SUM(P77:P93)</f>
        <v>0.18687019999999999</v>
      </c>
      <c r="Q94" s="734">
        <v>2029</v>
      </c>
    </row>
  </sheetData>
  <mergeCells count="37">
    <mergeCell ref="A19:N19"/>
    <mergeCell ref="A1:N1"/>
    <mergeCell ref="A6:M6"/>
    <mergeCell ref="A17:N17"/>
    <mergeCell ref="A11:J11"/>
    <mergeCell ref="A4:N4"/>
    <mergeCell ref="A8:J8"/>
    <mergeCell ref="A9:J9"/>
    <mergeCell ref="A12:J12"/>
    <mergeCell ref="A13:J13"/>
    <mergeCell ref="A14:J14"/>
    <mergeCell ref="A15:J15"/>
    <mergeCell ref="B24:B26"/>
    <mergeCell ref="A20:A21"/>
    <mergeCell ref="G20:G21"/>
    <mergeCell ref="I20:J20"/>
    <mergeCell ref="A23:N23"/>
    <mergeCell ref="H20:H21"/>
    <mergeCell ref="L20:L21"/>
    <mergeCell ref="M20:N20"/>
    <mergeCell ref="C20:C21"/>
    <mergeCell ref="B20:B21"/>
    <mergeCell ref="D20:D21"/>
    <mergeCell ref="E20:F20"/>
    <mergeCell ref="A40:N40"/>
    <mergeCell ref="B41:B43"/>
    <mergeCell ref="A49:N49"/>
    <mergeCell ref="B32:B34"/>
    <mergeCell ref="B50:B52"/>
    <mergeCell ref="B86:B88"/>
    <mergeCell ref="A76:N76"/>
    <mergeCell ref="B77:B79"/>
    <mergeCell ref="A58:N58"/>
    <mergeCell ref="B59:B61"/>
    <mergeCell ref="A67:N67"/>
    <mergeCell ref="B68:B70"/>
    <mergeCell ref="A85:N85"/>
  </mergeCells>
  <pageMargins left="0.31496062992125984" right="0.31496062992125984" top="0.78740157480314965" bottom="0.39370078740157483" header="0.31496062992125984" footer="0.19685039370078741"/>
  <pageSetup paperSize="9" firstPageNumber="103" orientation="landscape" useFirstPageNumber="1" horizontalDpi="1200" verticalDpi="1200" r:id="rId1"/>
  <headerFooter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86D95-F3BF-4F40-977E-4F8E4A9B8246}">
  <sheetPr>
    <tabColor theme="0"/>
  </sheetPr>
  <dimension ref="A1:N36"/>
  <sheetViews>
    <sheetView view="pageBreakPreview" topLeftCell="A9" zoomScale="85" zoomScaleNormal="100" zoomScaleSheetLayoutView="85" workbookViewId="0">
      <selection activeCell="S32" sqref="S32"/>
    </sheetView>
  </sheetViews>
  <sheetFormatPr defaultRowHeight="15" x14ac:dyDescent="0.25"/>
  <cols>
    <col min="1" max="1" width="8.28515625" customWidth="1"/>
    <col min="2" max="2" width="18.5703125" customWidth="1"/>
    <col min="3" max="3" width="14.7109375" customWidth="1"/>
    <col min="4" max="4" width="12" customWidth="1"/>
    <col min="5" max="5" width="17.85546875" customWidth="1"/>
    <col min="6" max="6" width="12.5703125" customWidth="1"/>
    <col min="7" max="7" width="7.5703125" customWidth="1"/>
    <col min="8" max="8" width="20.28515625" customWidth="1"/>
    <col min="9" max="9" width="6.5703125" customWidth="1"/>
    <col min="10" max="10" width="9.140625" customWidth="1"/>
    <col min="11" max="11" width="9.85546875" customWidth="1"/>
    <col min="12" max="12" width="12" customWidth="1"/>
  </cols>
  <sheetData>
    <row r="1" spans="1:11" ht="18.75" x14ac:dyDescent="0.25">
      <c r="A1" s="1526" t="s">
        <v>909</v>
      </c>
      <c r="B1" s="1526"/>
      <c r="C1" s="1526"/>
      <c r="D1" s="1526"/>
      <c r="E1" s="1526"/>
      <c r="F1" s="1526"/>
      <c r="G1" s="1526"/>
      <c r="H1" s="1526"/>
      <c r="I1" s="1526"/>
      <c r="J1" s="1526"/>
      <c r="K1" s="1526"/>
    </row>
    <row r="2" spans="1:11" ht="18.75" x14ac:dyDescent="0.25">
      <c r="A2" s="112"/>
    </row>
    <row r="3" spans="1:11" s="118" customFormat="1" ht="15.75" x14ac:dyDescent="0.25">
      <c r="A3" s="1527" t="s">
        <v>611</v>
      </c>
      <c r="B3" s="1527"/>
      <c r="C3" s="1527"/>
      <c r="D3" s="1527"/>
      <c r="E3" s="1527"/>
      <c r="F3" s="1527"/>
      <c r="G3" s="1527"/>
      <c r="H3" s="1527"/>
      <c r="I3" s="1527"/>
      <c r="J3" s="1527"/>
      <c r="K3" s="1527"/>
    </row>
    <row r="4" spans="1:11" ht="15.75" x14ac:dyDescent="0.25">
      <c r="A4" s="1126" t="s">
        <v>612</v>
      </c>
      <c r="B4" s="1126"/>
      <c r="C4" s="1126"/>
      <c r="D4" s="1126"/>
      <c r="E4" s="1126"/>
      <c r="F4" s="1126"/>
      <c r="G4" s="1126"/>
      <c r="H4" s="1126"/>
      <c r="I4" s="1126"/>
      <c r="J4" s="1126"/>
      <c r="K4" s="1126"/>
    </row>
    <row r="5" spans="1:11" ht="15.75" x14ac:dyDescent="0.25">
      <c r="A5" s="113"/>
    </row>
    <row r="6" spans="1:11" ht="18.75" x14ac:dyDescent="0.25">
      <c r="A6" s="1528" t="s">
        <v>876</v>
      </c>
      <c r="B6" s="1528"/>
      <c r="C6" s="1528"/>
      <c r="D6" s="1528"/>
      <c r="E6" s="1528"/>
      <c r="F6" s="1528"/>
      <c r="G6" s="1528"/>
      <c r="H6" s="1528"/>
      <c r="I6" s="1528"/>
      <c r="J6" s="1528"/>
      <c r="K6" s="1528"/>
    </row>
    <row r="7" spans="1:11" ht="13.5" customHeight="1" x14ac:dyDescent="0.25">
      <c r="A7" s="112"/>
    </row>
    <row r="8" spans="1:11" ht="20.25" x14ac:dyDescent="0.25">
      <c r="A8" s="1526" t="s">
        <v>877</v>
      </c>
      <c r="B8" s="1526"/>
      <c r="C8" s="1526"/>
      <c r="D8" s="1526"/>
      <c r="E8" s="1526"/>
      <c r="F8" s="1526"/>
      <c r="G8" s="1526"/>
      <c r="H8" s="1526"/>
      <c r="I8" s="1526"/>
      <c r="J8" s="1526"/>
      <c r="K8" s="1526"/>
    </row>
    <row r="9" spans="1:11" ht="11.25" customHeight="1" x14ac:dyDescent="0.25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</row>
    <row r="10" spans="1:11" ht="18.75" x14ac:dyDescent="0.25">
      <c r="A10" s="1528" t="s">
        <v>880</v>
      </c>
      <c r="B10" s="1528"/>
      <c r="C10" s="1528"/>
      <c r="D10" s="1528"/>
      <c r="E10" s="1528"/>
      <c r="F10" s="1528"/>
      <c r="G10" s="1528"/>
      <c r="H10" s="1528"/>
      <c r="I10" s="1528"/>
      <c r="J10" s="1528"/>
      <c r="K10" s="1528"/>
    </row>
    <row r="11" spans="1:11" ht="13.5" customHeight="1" x14ac:dyDescent="0.25">
      <c r="A11" s="112"/>
    </row>
    <row r="12" spans="1:11" ht="21.75" x14ac:dyDescent="0.25">
      <c r="A12" s="1538" t="s">
        <v>881</v>
      </c>
      <c r="B12" s="1538"/>
      <c r="C12" s="1538"/>
      <c r="D12" s="1538"/>
      <c r="E12" s="1538"/>
      <c r="F12" s="1538"/>
      <c r="G12" s="1538"/>
      <c r="H12" s="1538"/>
      <c r="I12" s="1538"/>
      <c r="J12" s="1538"/>
      <c r="K12" s="1538"/>
    </row>
    <row r="13" spans="1:11" ht="18.75" x14ac:dyDescent="0.25">
      <c r="A13" s="117" t="s">
        <v>816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</row>
    <row r="14" spans="1:11" ht="15.75" x14ac:dyDescent="0.25">
      <c r="A14" s="1126" t="s">
        <v>882</v>
      </c>
      <c r="B14" s="1126"/>
      <c r="C14" s="1126"/>
      <c r="D14" s="1126"/>
      <c r="E14" s="1126"/>
      <c r="F14" s="1126"/>
      <c r="G14" s="1126"/>
      <c r="H14" s="1126"/>
      <c r="I14" s="1126"/>
      <c r="J14" s="1126"/>
      <c r="K14" s="1126"/>
    </row>
    <row r="15" spans="1:11" s="115" customFormat="1" ht="15.75" x14ac:dyDescent="0.25">
      <c r="A15" s="1126" t="s">
        <v>878</v>
      </c>
      <c r="B15" s="1126"/>
      <c r="C15" s="1126"/>
      <c r="D15" s="1126"/>
      <c r="E15" s="1126"/>
      <c r="F15" s="1126"/>
      <c r="G15" s="1126"/>
      <c r="H15" s="1126"/>
      <c r="I15" s="1126"/>
      <c r="J15" s="1126"/>
      <c r="K15" s="1126"/>
    </row>
    <row r="16" spans="1:11" s="115" customFormat="1" ht="15.75" x14ac:dyDescent="0.25">
      <c r="A16" s="1126" t="s">
        <v>879</v>
      </c>
      <c r="B16" s="1126"/>
      <c r="C16" s="1126"/>
      <c r="D16" s="1126"/>
      <c r="E16" s="1126"/>
      <c r="F16" s="1126"/>
      <c r="G16" s="1126"/>
      <c r="H16" s="1126"/>
      <c r="I16" s="1126"/>
      <c r="J16" s="1126"/>
      <c r="K16" s="1126"/>
    </row>
    <row r="17" spans="1:14" ht="15.75" x14ac:dyDescent="0.25">
      <c r="A17" s="1126" t="s">
        <v>883</v>
      </c>
      <c r="B17" s="1126"/>
      <c r="C17" s="1126"/>
      <c r="D17" s="1126"/>
      <c r="E17" s="1126"/>
      <c r="F17" s="1126"/>
      <c r="G17" s="1126"/>
      <c r="H17" s="1126"/>
      <c r="I17" s="1126"/>
      <c r="J17" s="1126"/>
      <c r="K17" s="1126"/>
    </row>
    <row r="18" spans="1:14" ht="12" customHeight="1" x14ac:dyDescent="0.25">
      <c r="A18" s="112"/>
    </row>
    <row r="19" spans="1:14" ht="18.75" x14ac:dyDescent="0.25">
      <c r="A19" s="1539" t="s">
        <v>1215</v>
      </c>
      <c r="B19" s="1539"/>
      <c r="C19" s="1539"/>
      <c r="D19" s="1539"/>
      <c r="E19" s="1539"/>
      <c r="F19" s="1539"/>
      <c r="G19" s="1539"/>
      <c r="H19" s="1539"/>
      <c r="I19" s="1539"/>
      <c r="J19" s="1539"/>
      <c r="K19" s="1539"/>
    </row>
    <row r="20" spans="1:14" ht="10.5" customHeight="1" x14ac:dyDescent="0.25">
      <c r="A20" s="117"/>
      <c r="B20" s="117"/>
      <c r="C20" s="117"/>
      <c r="D20" s="117"/>
      <c r="E20" s="117"/>
      <c r="F20" s="117"/>
      <c r="G20" s="117"/>
      <c r="H20" s="117"/>
      <c r="I20" s="117"/>
      <c r="J20" s="117"/>
      <c r="K20" s="117"/>
    </row>
    <row r="21" spans="1:14" ht="18.75" x14ac:dyDescent="0.3">
      <c r="A21" s="14" t="s">
        <v>908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4" x14ac:dyDescent="0.25">
      <c r="A22" s="1546" t="s">
        <v>223</v>
      </c>
      <c r="B22" s="1549" t="s">
        <v>224</v>
      </c>
      <c r="C22" s="1549" t="s">
        <v>52</v>
      </c>
      <c r="D22" s="1319" t="s">
        <v>225</v>
      </c>
      <c r="E22" s="1549" t="s">
        <v>226</v>
      </c>
      <c r="F22" s="1550" t="s">
        <v>227</v>
      </c>
      <c r="G22" s="1549" t="s">
        <v>228</v>
      </c>
      <c r="H22" s="1549" t="s">
        <v>41</v>
      </c>
      <c r="I22" s="1549" t="s">
        <v>4</v>
      </c>
      <c r="J22" s="1549" t="s">
        <v>162</v>
      </c>
      <c r="K22" s="1549" t="s">
        <v>163</v>
      </c>
    </row>
    <row r="23" spans="1:14" x14ac:dyDescent="0.25">
      <c r="A23" s="1547"/>
      <c r="B23" s="1549"/>
      <c r="C23" s="1549"/>
      <c r="D23" s="1238"/>
      <c r="E23" s="1549"/>
      <c r="F23" s="1238"/>
      <c r="G23" s="1549"/>
      <c r="H23" s="1549"/>
      <c r="I23" s="1549"/>
      <c r="J23" s="1549"/>
      <c r="K23" s="1549"/>
    </row>
    <row r="24" spans="1:14" ht="28.5" customHeight="1" x14ac:dyDescent="0.25">
      <c r="A24" s="1548"/>
      <c r="B24" s="1549"/>
      <c r="C24" s="1549"/>
      <c r="D24" s="1239"/>
      <c r="E24" s="1549"/>
      <c r="F24" s="1239"/>
      <c r="G24" s="1549"/>
      <c r="H24" s="1549"/>
      <c r="I24" s="1549"/>
      <c r="J24" s="1549"/>
      <c r="K24" s="1549"/>
    </row>
    <row r="25" spans="1:14" ht="12" customHeight="1" x14ac:dyDescent="0.25">
      <c r="A25" s="16" t="s">
        <v>90</v>
      </c>
      <c r="B25" s="12">
        <v>2</v>
      </c>
      <c r="C25" s="12">
        <v>2</v>
      </c>
      <c r="D25" s="12">
        <v>3</v>
      </c>
      <c r="E25" s="12">
        <v>4</v>
      </c>
      <c r="F25" s="12">
        <v>5</v>
      </c>
      <c r="G25" s="12">
        <v>6</v>
      </c>
      <c r="H25" s="12">
        <v>7</v>
      </c>
      <c r="I25" s="12">
        <v>8</v>
      </c>
      <c r="J25" s="12">
        <v>9</v>
      </c>
      <c r="K25" s="12">
        <v>10</v>
      </c>
    </row>
    <row r="26" spans="1:14" ht="21" customHeight="1" x14ac:dyDescent="0.25">
      <c r="A26" s="1540" t="s">
        <v>380</v>
      </c>
      <c r="B26" s="1541"/>
      <c r="C26" s="1541"/>
      <c r="D26" s="1541"/>
      <c r="E26" s="1541"/>
      <c r="F26" s="1541"/>
      <c r="G26" s="1541"/>
      <c r="H26" s="1541"/>
      <c r="I26" s="1541"/>
      <c r="J26" s="1541"/>
      <c r="K26" s="1542"/>
    </row>
    <row r="27" spans="1:14" ht="19.5" customHeight="1" x14ac:dyDescent="0.25">
      <c r="A27" s="1543" t="s">
        <v>229</v>
      </c>
      <c r="B27" s="1544"/>
      <c r="C27" s="1544"/>
      <c r="D27" s="1544"/>
      <c r="E27" s="1544"/>
      <c r="F27" s="1544"/>
      <c r="G27" s="1544"/>
      <c r="H27" s="1544"/>
      <c r="I27" s="1544"/>
      <c r="J27" s="1544"/>
      <c r="K27" s="1545"/>
    </row>
    <row r="28" spans="1:14" ht="23.25" customHeight="1" x14ac:dyDescent="0.25">
      <c r="A28" s="1535" t="s">
        <v>8</v>
      </c>
      <c r="B28" s="1536"/>
      <c r="C28" s="1536"/>
      <c r="D28" s="1536"/>
      <c r="E28" s="1536"/>
      <c r="F28" s="1536"/>
      <c r="G28" s="1536"/>
      <c r="H28" s="1536"/>
      <c r="I28" s="1536"/>
      <c r="J28" s="1536"/>
      <c r="K28" s="1537"/>
    </row>
    <row r="29" spans="1:14" s="147" customFormat="1" ht="30" x14ac:dyDescent="0.25">
      <c r="A29" s="183">
        <v>700701</v>
      </c>
      <c r="B29" s="189" t="s">
        <v>230</v>
      </c>
      <c r="C29" s="189" t="s">
        <v>313</v>
      </c>
      <c r="D29" s="183">
        <v>2</v>
      </c>
      <c r="E29" s="183">
        <v>396</v>
      </c>
      <c r="F29" s="183">
        <v>0</v>
      </c>
      <c r="G29" s="183">
        <v>1680</v>
      </c>
      <c r="H29" s="189" t="s">
        <v>16</v>
      </c>
      <c r="I29" s="210">
        <v>2908</v>
      </c>
      <c r="J29" s="183">
        <f>ROUND(((D29*E29*(1-F29))/3600),4)</f>
        <v>0.22</v>
      </c>
      <c r="K29" s="183">
        <f>ROUND(((E29*G29*(1-F29))/1000000),4)</f>
        <v>0.6653</v>
      </c>
      <c r="L29" s="936">
        <f>J29</f>
        <v>0.22</v>
      </c>
      <c r="M29" s="937">
        <f>K29</f>
        <v>0.6653</v>
      </c>
      <c r="N29" s="860">
        <v>2026</v>
      </c>
    </row>
    <row r="30" spans="1:14" ht="18.75" x14ac:dyDescent="0.25">
      <c r="A30" s="1529" t="s">
        <v>231</v>
      </c>
      <c r="B30" s="1530"/>
      <c r="C30" s="1530"/>
      <c r="D30" s="1530"/>
      <c r="E30" s="1530"/>
      <c r="F30" s="1530"/>
      <c r="G30" s="1530"/>
      <c r="H30" s="1530"/>
      <c r="I30" s="1530"/>
      <c r="J30" s="1530"/>
      <c r="K30" s="1531"/>
      <c r="L30" s="938"/>
      <c r="M30" s="839"/>
      <c r="N30" s="839"/>
    </row>
    <row r="31" spans="1:14" x14ac:dyDescent="0.25">
      <c r="A31" s="1535" t="s">
        <v>288</v>
      </c>
      <c r="B31" s="1536"/>
      <c r="C31" s="1536"/>
      <c r="D31" s="1536"/>
      <c r="E31" s="1536"/>
      <c r="F31" s="1536"/>
      <c r="G31" s="1536"/>
      <c r="H31" s="1536"/>
      <c r="I31" s="1536"/>
      <c r="J31" s="1536"/>
      <c r="K31" s="1537"/>
      <c r="L31" s="939"/>
      <c r="M31" s="3"/>
      <c r="N31" s="3"/>
    </row>
    <row r="32" spans="1:14" ht="30" x14ac:dyDescent="0.25">
      <c r="A32" s="183">
        <v>710601</v>
      </c>
      <c r="B32" s="189" t="s">
        <v>290</v>
      </c>
      <c r="C32" s="189" t="s">
        <v>313</v>
      </c>
      <c r="D32" s="183">
        <v>1</v>
      </c>
      <c r="E32" s="183">
        <v>396</v>
      </c>
      <c r="F32" s="183">
        <v>0</v>
      </c>
      <c r="G32" s="183">
        <v>1050</v>
      </c>
      <c r="H32" s="189" t="s">
        <v>16</v>
      </c>
      <c r="I32" s="210">
        <v>2908</v>
      </c>
      <c r="J32" s="183">
        <f>ROUND(((D32*E32*(1-F32))/3600),4)</f>
        <v>0.11</v>
      </c>
      <c r="K32" s="183">
        <f>ROUND(((E32*G32*(1-F32))/1000000),4)</f>
        <v>0.4158</v>
      </c>
      <c r="L32" s="906">
        <f>J32</f>
        <v>0.11</v>
      </c>
      <c r="M32" s="903">
        <f>K32</f>
        <v>0.4158</v>
      </c>
      <c r="N32" s="940">
        <v>2027</v>
      </c>
    </row>
    <row r="33" spans="1:14" ht="18.75" x14ac:dyDescent="0.25">
      <c r="A33" s="1532" t="s">
        <v>305</v>
      </c>
      <c r="B33" s="1533"/>
      <c r="C33" s="1533"/>
      <c r="D33" s="1533"/>
      <c r="E33" s="1533"/>
      <c r="F33" s="1533"/>
      <c r="G33" s="1533"/>
      <c r="H33" s="1533"/>
      <c r="I33" s="1533"/>
      <c r="J33" s="1533"/>
      <c r="K33" s="1534"/>
      <c r="L33" s="3"/>
      <c r="M33" s="3"/>
      <c r="N33" s="3"/>
    </row>
    <row r="34" spans="1:14" x14ac:dyDescent="0.25">
      <c r="A34" s="1535" t="s">
        <v>302</v>
      </c>
      <c r="B34" s="1536"/>
      <c r="C34" s="1536"/>
      <c r="D34" s="1536"/>
      <c r="E34" s="1536"/>
      <c r="F34" s="1536"/>
      <c r="G34" s="1536"/>
      <c r="H34" s="1536"/>
      <c r="I34" s="1536"/>
      <c r="J34" s="1536"/>
      <c r="K34" s="1537"/>
      <c r="L34" s="3"/>
      <c r="M34" s="3"/>
      <c r="N34" s="3"/>
    </row>
    <row r="35" spans="1:14" ht="30" x14ac:dyDescent="0.25">
      <c r="A35" s="183">
        <v>711901</v>
      </c>
      <c r="B35" s="189" t="s">
        <v>290</v>
      </c>
      <c r="C35" s="189" t="s">
        <v>313</v>
      </c>
      <c r="D35" s="183">
        <v>1</v>
      </c>
      <c r="E35" s="183">
        <v>396</v>
      </c>
      <c r="F35" s="183">
        <v>0</v>
      </c>
      <c r="G35" s="183">
        <v>840</v>
      </c>
      <c r="H35" s="189" t="s">
        <v>16</v>
      </c>
      <c r="I35" s="210">
        <v>2908</v>
      </c>
      <c r="J35" s="183">
        <f>ROUND(((D35*E35*(1-F35))/3600),4)</f>
        <v>0.11</v>
      </c>
      <c r="K35" s="183">
        <f>ROUND(((E35*G35*(1-F35))/1000000),4)</f>
        <v>0.33260000000000001</v>
      </c>
      <c r="L35" s="906">
        <f>J35</f>
        <v>0.11</v>
      </c>
      <c r="M35" s="903">
        <f>K35</f>
        <v>0.33260000000000001</v>
      </c>
      <c r="N35" s="904">
        <v>2029</v>
      </c>
    </row>
    <row r="36" spans="1:14" x14ac:dyDescent="0.25">
      <c r="L36" s="3"/>
      <c r="M36" s="3"/>
      <c r="N36" s="3"/>
    </row>
  </sheetData>
  <mergeCells count="30">
    <mergeCell ref="H22:H24"/>
    <mergeCell ref="I22:I24"/>
    <mergeCell ref="J22:J24"/>
    <mergeCell ref="K22:K24"/>
    <mergeCell ref="C22:C24"/>
    <mergeCell ref="D22:D24"/>
    <mergeCell ref="E22:E24"/>
    <mergeCell ref="F22:F24"/>
    <mergeCell ref="G22:G24"/>
    <mergeCell ref="A30:K30"/>
    <mergeCell ref="A33:K33"/>
    <mergeCell ref="A34:K34"/>
    <mergeCell ref="A31:K31"/>
    <mergeCell ref="A10:K10"/>
    <mergeCell ref="A12:K12"/>
    <mergeCell ref="A17:K17"/>
    <mergeCell ref="A19:K19"/>
    <mergeCell ref="A14:K14"/>
    <mergeCell ref="A15:K15"/>
    <mergeCell ref="A16:K16"/>
    <mergeCell ref="A28:K28"/>
    <mergeCell ref="A26:K26"/>
    <mergeCell ref="A27:K27"/>
    <mergeCell ref="A22:A24"/>
    <mergeCell ref="B22:B24"/>
    <mergeCell ref="A1:K1"/>
    <mergeCell ref="A3:K3"/>
    <mergeCell ref="A4:K4"/>
    <mergeCell ref="A6:K6"/>
    <mergeCell ref="A8:K8"/>
  </mergeCells>
  <pageMargins left="0.31496062992125984" right="0.31496062992125984" top="0.78740157480314965" bottom="0.39370078740157483" header="0.31496062992125984" footer="0.19685039370078741"/>
  <pageSetup paperSize="9" firstPageNumber="106" orientation="landscape" useFirstPageNumber="1" r:id="rId1"/>
  <headerFooter>
    <oddFooter>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E642A-AD84-46C1-8959-22A136A25EAA}">
  <dimension ref="A1:AI64"/>
  <sheetViews>
    <sheetView view="pageBreakPreview" topLeftCell="A48" zoomScale="85" zoomScaleNormal="100" zoomScaleSheetLayoutView="85" workbookViewId="0">
      <selection activeCell="Q56" sqref="Q56"/>
    </sheetView>
  </sheetViews>
  <sheetFormatPr defaultRowHeight="15" x14ac:dyDescent="0.25"/>
  <cols>
    <col min="1" max="1" width="6.28515625" customWidth="1"/>
    <col min="2" max="2" width="14.42578125" customWidth="1"/>
    <col min="3" max="3" width="8.7109375" customWidth="1"/>
    <col min="4" max="4" width="4.7109375" customWidth="1"/>
    <col min="5" max="5" width="4.28515625" customWidth="1"/>
    <col min="6" max="6" width="4" customWidth="1"/>
    <col min="7" max="7" width="3.85546875" customWidth="1"/>
    <col min="8" max="8" width="4.28515625" customWidth="1"/>
    <col min="9" max="9" width="4.140625" customWidth="1"/>
    <col min="10" max="10" width="3.7109375" customWidth="1"/>
    <col min="11" max="11" width="3.5703125" customWidth="1"/>
    <col min="12" max="12" width="3.7109375" customWidth="1"/>
    <col min="13" max="13" width="3.28515625" customWidth="1"/>
    <col min="14" max="14" width="4.5703125" customWidth="1"/>
    <col min="15" max="15" width="6.42578125" customWidth="1"/>
    <col min="16" max="16" width="5.140625" customWidth="1"/>
    <col min="17" max="17" width="7.7109375" customWidth="1"/>
    <col min="18" max="18" width="4.5703125" customWidth="1"/>
    <col min="19" max="20" width="3.7109375" customWidth="1"/>
    <col min="21" max="21" width="11.5703125" customWidth="1"/>
    <col min="22" max="22" width="4.7109375" customWidth="1"/>
    <col min="23" max="23" width="5.140625" customWidth="1"/>
    <col min="24" max="24" width="6.85546875" customWidth="1"/>
    <col min="25" max="25" width="6.7109375" customWidth="1"/>
    <col min="26" max="26" width="8.85546875" customWidth="1"/>
    <col min="27" max="27" width="8.5703125" customWidth="1"/>
    <col min="28" max="28" width="12.28515625" customWidth="1"/>
  </cols>
  <sheetData>
    <row r="1" spans="1:27" s="95" customFormat="1" ht="21.75" customHeight="1" x14ac:dyDescent="0.25">
      <c r="A1" s="1573" t="s">
        <v>1171</v>
      </c>
      <c r="B1" s="1573"/>
      <c r="C1" s="1573"/>
      <c r="D1" s="1573"/>
      <c r="E1" s="1573"/>
      <c r="F1" s="1573"/>
      <c r="G1" s="1573"/>
      <c r="H1" s="1573"/>
      <c r="I1" s="1573"/>
      <c r="J1" s="1573"/>
      <c r="K1" s="1573"/>
      <c r="L1" s="1573"/>
      <c r="M1" s="1573"/>
      <c r="N1" s="1573"/>
      <c r="O1" s="1573"/>
      <c r="P1" s="1573"/>
      <c r="Q1" s="1573"/>
      <c r="R1" s="1573"/>
      <c r="S1" s="1573"/>
      <c r="T1" s="1573"/>
      <c r="U1" s="1573"/>
      <c r="V1" s="1573"/>
      <c r="W1" s="1573"/>
      <c r="X1" s="1573"/>
      <c r="Y1" s="1573"/>
    </row>
    <row r="2" spans="1:27" s="95" customFormat="1" ht="15" customHeight="1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 spans="1:27" s="62" customFormat="1" ht="15.75" x14ac:dyDescent="0.25">
      <c r="A3" s="1170" t="s">
        <v>611</v>
      </c>
      <c r="B3" s="1170"/>
      <c r="C3" s="1170"/>
      <c r="D3" s="1170"/>
      <c r="E3" s="1170"/>
      <c r="F3" s="1170"/>
      <c r="G3" s="1170"/>
      <c r="H3" s="1170"/>
      <c r="I3" s="1170"/>
      <c r="J3" s="1170"/>
      <c r="K3" s="1170"/>
      <c r="L3" s="1170"/>
      <c r="M3" s="1170"/>
      <c r="N3" s="1170"/>
      <c r="O3" s="1170"/>
    </row>
    <row r="4" spans="1:27" s="62" customFormat="1" ht="21" customHeight="1" x14ac:dyDescent="0.25">
      <c r="A4" s="1101" t="s">
        <v>612</v>
      </c>
      <c r="B4" s="1101"/>
      <c r="C4" s="1101"/>
      <c r="D4" s="1101"/>
      <c r="E4" s="1101"/>
      <c r="F4" s="1101"/>
      <c r="G4" s="1101"/>
      <c r="H4" s="1101"/>
      <c r="I4" s="1101"/>
      <c r="J4" s="1101"/>
      <c r="K4" s="1101"/>
      <c r="L4" s="1101"/>
      <c r="M4" s="1101"/>
      <c r="N4" s="1101"/>
      <c r="O4" s="1101"/>
      <c r="P4" s="1101"/>
      <c r="Q4" s="1101"/>
      <c r="R4" s="1101"/>
      <c r="S4" s="1101"/>
      <c r="T4" s="1101"/>
      <c r="U4" s="1101"/>
      <c r="V4" s="1101"/>
      <c r="W4" s="1101"/>
      <c r="X4" s="1101"/>
      <c r="Y4" s="1101"/>
      <c r="Z4" s="56"/>
      <c r="AA4" s="56"/>
    </row>
    <row r="5" spans="1:27" s="62" customFormat="1" ht="12.75" customHeight="1" x14ac:dyDescent="0.25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56"/>
      <c r="AA5" s="56"/>
    </row>
    <row r="6" spans="1:27" s="95" customFormat="1" ht="21" customHeight="1" x14ac:dyDescent="0.25">
      <c r="A6" s="1440" t="s">
        <v>761</v>
      </c>
      <c r="B6" s="1440"/>
      <c r="C6" s="1440"/>
      <c r="D6" s="1440"/>
      <c r="E6" s="1440"/>
      <c r="F6" s="1440"/>
      <c r="G6" s="1440"/>
      <c r="H6" s="1440"/>
      <c r="I6" s="1440"/>
      <c r="J6" s="1440"/>
      <c r="K6" s="1440"/>
      <c r="L6" s="1440"/>
      <c r="M6" s="1440"/>
      <c r="N6" s="1440"/>
      <c r="O6" s="1440"/>
      <c r="P6" s="1440"/>
      <c r="Q6" s="1440"/>
      <c r="R6" s="1440"/>
      <c r="S6" s="1440"/>
      <c r="T6" s="1440"/>
      <c r="U6" s="1440"/>
      <c r="V6" s="1440"/>
      <c r="W6" s="136"/>
      <c r="X6" s="136"/>
      <c r="Y6" s="136"/>
    </row>
    <row r="7" spans="1:27" s="95" customFormat="1" ht="21" customHeight="1" x14ac:dyDescent="0.25">
      <c r="A7" s="96"/>
      <c r="B7" s="1573" t="s">
        <v>853</v>
      </c>
      <c r="C7" s="1573"/>
      <c r="D7" s="1573"/>
      <c r="E7" s="1573"/>
      <c r="F7" s="1573"/>
      <c r="G7" s="1573"/>
      <c r="H7" s="1573"/>
      <c r="I7" s="1573"/>
      <c r="J7" s="1573"/>
      <c r="K7" s="1573"/>
      <c r="L7" s="1573"/>
      <c r="M7" s="1573"/>
      <c r="N7" s="1573"/>
      <c r="O7" s="1573"/>
      <c r="P7" s="1573"/>
      <c r="Q7" s="1573"/>
      <c r="R7" s="1573"/>
      <c r="S7" s="1573"/>
      <c r="T7" s="1573"/>
      <c r="U7" s="1573"/>
      <c r="V7" s="96"/>
      <c r="W7" s="136"/>
      <c r="X7" s="136"/>
      <c r="Y7" s="136"/>
    </row>
    <row r="8" spans="1:27" s="95" customFormat="1" ht="10.5" customHeight="1" x14ac:dyDescent="0.25">
      <c r="A8" s="96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6"/>
      <c r="W8" s="136"/>
      <c r="X8" s="136"/>
      <c r="Y8" s="136"/>
    </row>
    <row r="9" spans="1:27" s="97" customFormat="1" ht="22.5" customHeight="1" x14ac:dyDescent="0.3">
      <c r="A9" s="1574" t="s">
        <v>854</v>
      </c>
      <c r="B9" s="1574"/>
      <c r="C9" s="1574"/>
      <c r="D9" s="1574"/>
      <c r="E9" s="1574"/>
      <c r="F9" s="1574"/>
      <c r="G9" s="1574"/>
      <c r="H9" s="1574"/>
      <c r="I9" s="1574"/>
      <c r="J9" s="1574"/>
      <c r="K9" s="1574"/>
      <c r="L9" s="1574"/>
      <c r="M9" s="1574"/>
      <c r="N9" s="1574"/>
      <c r="O9" s="1574"/>
      <c r="P9" s="1574"/>
      <c r="Q9" s="1574"/>
      <c r="R9" s="1574"/>
      <c r="S9" s="1574"/>
      <c r="T9" s="1574"/>
      <c r="U9" s="1574"/>
      <c r="V9" s="1574"/>
      <c r="W9" s="1574"/>
      <c r="X9" s="1574"/>
      <c r="Y9" s="1574"/>
      <c r="Z9" s="348"/>
      <c r="AA9" s="348"/>
    </row>
    <row r="10" spans="1:27" s="52" customFormat="1" ht="22.5" customHeight="1" x14ac:dyDescent="0.3">
      <c r="A10" s="1111" t="s">
        <v>855</v>
      </c>
      <c r="B10" s="1111"/>
      <c r="C10" s="1111"/>
      <c r="D10" s="1111"/>
      <c r="E10" s="1111"/>
      <c r="F10" s="1111"/>
      <c r="G10" s="1111"/>
      <c r="H10" s="1111"/>
      <c r="I10" s="1111"/>
      <c r="J10" s="1111"/>
      <c r="K10" s="1111"/>
      <c r="L10" s="1111"/>
      <c r="M10" s="1111"/>
      <c r="N10" s="1111"/>
      <c r="O10" s="1111"/>
      <c r="P10" s="1111"/>
      <c r="Q10" s="1111"/>
      <c r="R10" s="1111"/>
      <c r="S10" s="1111"/>
      <c r="T10" s="1111"/>
      <c r="U10" s="1111"/>
      <c r="V10" s="1111"/>
      <c r="W10" s="1111"/>
      <c r="X10" s="1111"/>
      <c r="Y10" s="1111"/>
      <c r="Z10" s="76"/>
      <c r="AA10" s="76"/>
    </row>
    <row r="11" spans="1:27" s="52" customFormat="1" ht="8.25" customHeight="1" x14ac:dyDescent="0.3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</row>
    <row r="12" spans="1:27" s="97" customFormat="1" ht="22.5" customHeight="1" x14ac:dyDescent="0.3">
      <c r="A12" s="1574" t="s">
        <v>856</v>
      </c>
      <c r="B12" s="1574"/>
      <c r="C12" s="1574"/>
      <c r="D12" s="1574"/>
      <c r="E12" s="1574"/>
      <c r="F12" s="1574"/>
      <c r="G12" s="1574"/>
      <c r="H12" s="1574"/>
      <c r="I12" s="1574"/>
      <c r="J12" s="1574"/>
      <c r="K12" s="1574"/>
      <c r="L12" s="1574"/>
      <c r="M12" s="1574"/>
      <c r="N12" s="1574"/>
      <c r="O12" s="1574"/>
      <c r="P12" s="1574"/>
      <c r="Q12" s="1574"/>
      <c r="R12" s="1574"/>
      <c r="S12" s="1574"/>
      <c r="T12" s="1574"/>
      <c r="U12" s="1574"/>
      <c r="V12" s="1574"/>
      <c r="W12" s="1574"/>
      <c r="X12" s="1574"/>
      <c r="Y12" s="1574"/>
      <c r="Z12" s="348"/>
      <c r="AA12" s="348"/>
    </row>
    <row r="13" spans="1:27" s="52" customFormat="1" ht="22.5" customHeight="1" x14ac:dyDescent="0.3">
      <c r="A13" s="1111" t="s">
        <v>857</v>
      </c>
      <c r="B13" s="1111"/>
      <c r="C13" s="1111"/>
      <c r="D13" s="1111"/>
      <c r="E13" s="1111"/>
      <c r="F13" s="1111"/>
      <c r="G13" s="1111"/>
      <c r="H13" s="1111"/>
      <c r="I13" s="1111"/>
      <c r="J13" s="1111"/>
      <c r="K13" s="1111"/>
      <c r="L13" s="1111"/>
      <c r="M13" s="1111"/>
      <c r="N13" s="1111"/>
      <c r="O13" s="1111"/>
      <c r="P13" s="1111"/>
      <c r="Q13" s="1111"/>
      <c r="R13" s="1111"/>
      <c r="S13" s="1111"/>
      <c r="T13" s="1111"/>
      <c r="U13" s="1111"/>
      <c r="V13" s="1111"/>
      <c r="W13" s="1111"/>
      <c r="X13" s="1111"/>
      <c r="Y13" s="1111"/>
      <c r="Z13" s="76"/>
      <c r="AA13" s="76"/>
    </row>
    <row r="14" spans="1:27" s="52" customFormat="1" ht="11.25" customHeight="1" x14ac:dyDescent="0.3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</row>
    <row r="15" spans="1:27" s="62" customFormat="1" ht="15.75" x14ac:dyDescent="0.25">
      <c r="A15" s="1101" t="s">
        <v>744</v>
      </c>
      <c r="B15" s="1101"/>
      <c r="C15" s="1101"/>
      <c r="D15" s="1101"/>
      <c r="E15" s="1101"/>
      <c r="F15" s="1101"/>
      <c r="G15" s="1101"/>
      <c r="H15" s="1101"/>
      <c r="I15" s="1101"/>
      <c r="J15" s="1101"/>
      <c r="K15" s="1101"/>
      <c r="L15" s="1101"/>
      <c r="M15" s="1101"/>
      <c r="N15" s="1101"/>
      <c r="O15" s="1101"/>
    </row>
    <row r="16" spans="1:27" s="95" customFormat="1" ht="15.75" customHeight="1" x14ac:dyDescent="0.25">
      <c r="A16" s="1440" t="s">
        <v>858</v>
      </c>
      <c r="B16" s="1440"/>
      <c r="C16" s="1440"/>
      <c r="D16" s="1440"/>
      <c r="E16" s="1440"/>
      <c r="F16" s="1440"/>
      <c r="G16" s="1440"/>
      <c r="H16" s="1440"/>
      <c r="I16" s="1440"/>
      <c r="J16" s="1440"/>
      <c r="K16" s="1440"/>
      <c r="L16" s="1440"/>
      <c r="M16" s="1440"/>
      <c r="N16" s="1440"/>
      <c r="O16" s="1440"/>
      <c r="P16" s="1440"/>
      <c r="Q16" s="1440"/>
      <c r="R16" s="1440"/>
      <c r="S16" s="1440"/>
      <c r="T16" s="1440"/>
      <c r="U16" s="1440"/>
      <c r="V16" s="1440"/>
      <c r="W16" s="136"/>
      <c r="X16" s="136"/>
      <c r="Y16" s="136"/>
    </row>
    <row r="17" spans="1:27" s="95" customFormat="1" ht="13.5" customHeight="1" x14ac:dyDescent="0.25">
      <c r="A17" s="1440" t="s">
        <v>859</v>
      </c>
      <c r="B17" s="1440"/>
      <c r="C17" s="1440"/>
      <c r="D17" s="1440"/>
      <c r="E17" s="1440"/>
      <c r="F17" s="1440"/>
      <c r="G17" s="1440"/>
      <c r="H17" s="1440"/>
      <c r="I17" s="1440"/>
      <c r="J17" s="1440"/>
      <c r="K17" s="1440"/>
      <c r="L17" s="1440"/>
      <c r="M17" s="1440"/>
      <c r="N17" s="1440"/>
      <c r="O17" s="1440"/>
      <c r="P17" s="1440"/>
      <c r="Q17" s="1440"/>
      <c r="R17" s="1440"/>
      <c r="S17" s="1440"/>
      <c r="T17" s="1440"/>
      <c r="U17" s="1440"/>
      <c r="V17" s="1440"/>
      <c r="W17" s="136"/>
      <c r="X17" s="136"/>
      <c r="Y17" s="136"/>
    </row>
    <row r="18" spans="1:27" s="95" customFormat="1" ht="30" customHeight="1" x14ac:dyDescent="0.25">
      <c r="A18" s="1440" t="s">
        <v>860</v>
      </c>
      <c r="B18" s="1440"/>
      <c r="C18" s="1440"/>
      <c r="D18" s="1440"/>
      <c r="E18" s="1440"/>
      <c r="F18" s="1440"/>
      <c r="G18" s="1440"/>
      <c r="H18" s="1440"/>
      <c r="I18" s="1440"/>
      <c r="J18" s="1440"/>
      <c r="K18" s="1440"/>
      <c r="L18" s="1440"/>
      <c r="M18" s="1440"/>
      <c r="N18" s="1440"/>
      <c r="O18" s="1440"/>
      <c r="P18" s="1440"/>
      <c r="Q18" s="1440"/>
      <c r="R18" s="1440"/>
      <c r="S18" s="1440"/>
      <c r="T18" s="1440"/>
      <c r="U18" s="1440"/>
      <c r="V18" s="1440"/>
      <c r="W18" s="1440"/>
      <c r="X18" s="1440"/>
      <c r="Y18" s="1440"/>
      <c r="Z18" s="99"/>
      <c r="AA18" s="99"/>
    </row>
    <row r="19" spans="1:27" s="95" customFormat="1" ht="16.5" customHeight="1" x14ac:dyDescent="0.25">
      <c r="A19" s="1440" t="s">
        <v>861</v>
      </c>
      <c r="B19" s="1440"/>
      <c r="C19" s="1440"/>
      <c r="D19" s="1440"/>
      <c r="E19" s="1440"/>
      <c r="F19" s="1440"/>
      <c r="G19" s="1440"/>
      <c r="H19" s="1440"/>
      <c r="I19" s="1440"/>
      <c r="J19" s="1440"/>
      <c r="K19" s="1440"/>
      <c r="L19" s="1440"/>
      <c r="M19" s="1440"/>
      <c r="N19" s="1440"/>
      <c r="O19" s="1440"/>
      <c r="P19" s="1440"/>
      <c r="Q19" s="1440"/>
      <c r="R19" s="1440"/>
      <c r="S19" s="1440"/>
      <c r="T19" s="1440"/>
      <c r="U19" s="1440"/>
      <c r="V19" s="1440"/>
      <c r="W19" s="1440"/>
      <c r="X19" s="1440"/>
      <c r="Y19" s="1440"/>
      <c r="Z19" s="99"/>
      <c r="AA19" s="99"/>
    </row>
    <row r="20" spans="1:27" s="95" customFormat="1" ht="30" customHeight="1" x14ac:dyDescent="0.25">
      <c r="A20" s="1440" t="s">
        <v>862</v>
      </c>
      <c r="B20" s="1440"/>
      <c r="C20" s="1440"/>
      <c r="D20" s="1440"/>
      <c r="E20" s="1440"/>
      <c r="F20" s="1440"/>
      <c r="G20" s="1440"/>
      <c r="H20" s="1440"/>
      <c r="I20" s="1440"/>
      <c r="J20" s="1440"/>
      <c r="K20" s="1440"/>
      <c r="L20" s="1440"/>
      <c r="M20" s="1440"/>
      <c r="N20" s="1440"/>
      <c r="O20" s="1440"/>
      <c r="P20" s="1440"/>
      <c r="Q20" s="1440"/>
      <c r="R20" s="1440"/>
      <c r="S20" s="1440"/>
      <c r="T20" s="1440"/>
      <c r="U20" s="1440"/>
      <c r="V20" s="1440"/>
      <c r="W20" s="1440"/>
      <c r="X20" s="1440"/>
      <c r="Y20" s="1440"/>
      <c r="Z20" s="99"/>
      <c r="AA20" s="99"/>
    </row>
    <row r="21" spans="1:27" s="95" customFormat="1" ht="30" customHeight="1" x14ac:dyDescent="0.25">
      <c r="A21" s="1440" t="s">
        <v>863</v>
      </c>
      <c r="B21" s="1440"/>
      <c r="C21" s="1440"/>
      <c r="D21" s="1440"/>
      <c r="E21" s="1440"/>
      <c r="F21" s="1440"/>
      <c r="G21" s="1440"/>
      <c r="H21" s="1440"/>
      <c r="I21" s="1440"/>
      <c r="J21" s="1440"/>
      <c r="K21" s="1440"/>
      <c r="L21" s="1440"/>
      <c r="M21" s="1440"/>
      <c r="N21" s="1440"/>
      <c r="O21" s="1440"/>
      <c r="P21" s="1440"/>
      <c r="Q21" s="1440"/>
      <c r="R21" s="1440"/>
      <c r="S21" s="1440"/>
      <c r="T21" s="1440"/>
      <c r="U21" s="1440"/>
      <c r="V21" s="1440"/>
      <c r="W21" s="1440"/>
      <c r="X21" s="1440"/>
      <c r="Y21" s="1440"/>
      <c r="Z21" s="99"/>
      <c r="AA21" s="99"/>
    </row>
    <row r="22" spans="1:27" s="95" customFormat="1" ht="30.75" customHeight="1" x14ac:dyDescent="0.25">
      <c r="A22" s="1440" t="s">
        <v>864</v>
      </c>
      <c r="B22" s="1440"/>
      <c r="C22" s="1440"/>
      <c r="D22" s="1440"/>
      <c r="E22" s="1440"/>
      <c r="F22" s="1440"/>
      <c r="G22" s="1440"/>
      <c r="H22" s="1440"/>
      <c r="I22" s="1440"/>
      <c r="J22" s="1440"/>
      <c r="K22" s="1440"/>
      <c r="L22" s="1440"/>
      <c r="M22" s="1440"/>
      <c r="N22" s="1440"/>
      <c r="O22" s="1440"/>
      <c r="P22" s="1440"/>
      <c r="Q22" s="1440"/>
      <c r="R22" s="1440"/>
      <c r="S22" s="1440"/>
      <c r="T22" s="1440"/>
      <c r="U22" s="1440"/>
      <c r="V22" s="1440"/>
      <c r="W22" s="1440"/>
      <c r="X22" s="1440"/>
      <c r="Y22" s="1440"/>
      <c r="Z22" s="99"/>
      <c r="AA22" s="99"/>
    </row>
    <row r="23" spans="1:27" s="95" customFormat="1" ht="32.25" customHeight="1" x14ac:dyDescent="0.25">
      <c r="A23" s="1440" t="s">
        <v>865</v>
      </c>
      <c r="B23" s="1440"/>
      <c r="C23" s="1440"/>
      <c r="D23" s="1440"/>
      <c r="E23" s="1440"/>
      <c r="F23" s="1440"/>
      <c r="G23" s="1440"/>
      <c r="H23" s="1440"/>
      <c r="I23" s="1440"/>
      <c r="J23" s="1440"/>
      <c r="K23" s="1440"/>
      <c r="L23" s="1440"/>
      <c r="M23" s="1440"/>
      <c r="N23" s="1440"/>
      <c r="O23" s="1440"/>
      <c r="P23" s="1440"/>
      <c r="Q23" s="1440"/>
      <c r="R23" s="1440"/>
      <c r="S23" s="1440"/>
      <c r="T23" s="1440"/>
      <c r="U23" s="1440"/>
      <c r="V23" s="1440"/>
      <c r="W23" s="1440"/>
      <c r="X23" s="1440"/>
      <c r="Y23" s="1440"/>
      <c r="Z23" s="99"/>
      <c r="AA23" s="99"/>
    </row>
    <row r="24" spans="1:27" s="95" customFormat="1" ht="30.75" customHeight="1" x14ac:dyDescent="0.25">
      <c r="A24" s="1440" t="s">
        <v>866</v>
      </c>
      <c r="B24" s="1440"/>
      <c r="C24" s="1440"/>
      <c r="D24" s="1440"/>
      <c r="E24" s="1440"/>
      <c r="F24" s="1440"/>
      <c r="G24" s="1440"/>
      <c r="H24" s="1440"/>
      <c r="I24" s="1440"/>
      <c r="J24" s="1440"/>
      <c r="K24" s="1440"/>
      <c r="L24" s="1440"/>
      <c r="M24" s="1440"/>
      <c r="N24" s="1440"/>
      <c r="O24" s="1440"/>
      <c r="P24" s="1440"/>
      <c r="Q24" s="1440"/>
      <c r="R24" s="1440"/>
      <c r="S24" s="1440"/>
      <c r="T24" s="1440"/>
      <c r="U24" s="1440"/>
      <c r="V24" s="1440"/>
      <c r="W24" s="1440"/>
      <c r="X24" s="1440"/>
      <c r="Y24" s="1440"/>
      <c r="Z24" s="99"/>
      <c r="AA24" s="99"/>
    </row>
    <row r="25" spans="1:27" s="95" customFormat="1" ht="32.25" customHeight="1" x14ac:dyDescent="0.25">
      <c r="A25" s="1440" t="s">
        <v>867</v>
      </c>
      <c r="B25" s="1440"/>
      <c r="C25" s="1440"/>
      <c r="D25" s="1440"/>
      <c r="E25" s="1440"/>
      <c r="F25" s="1440"/>
      <c r="G25" s="1440"/>
      <c r="H25" s="1440"/>
      <c r="I25" s="1440"/>
      <c r="J25" s="1440"/>
      <c r="K25" s="1440"/>
      <c r="L25" s="1440"/>
      <c r="M25" s="1440"/>
      <c r="N25" s="1440"/>
      <c r="O25" s="1440"/>
      <c r="P25" s="1440"/>
      <c r="Q25" s="1440"/>
      <c r="R25" s="1440"/>
      <c r="S25" s="1440"/>
      <c r="T25" s="1440"/>
      <c r="U25" s="1440"/>
      <c r="V25" s="1440"/>
      <c r="W25" s="1440"/>
      <c r="X25" s="1440"/>
      <c r="Y25" s="1440"/>
      <c r="Z25" s="99"/>
      <c r="AA25" s="99"/>
    </row>
    <row r="26" spans="1:27" s="95" customFormat="1" ht="14.25" customHeight="1" x14ac:dyDescent="0.25">
      <c r="A26" s="1440" t="s">
        <v>868</v>
      </c>
      <c r="B26" s="1440"/>
      <c r="C26" s="1440"/>
      <c r="D26" s="1440"/>
      <c r="E26" s="1440"/>
      <c r="F26" s="1440"/>
      <c r="G26" s="1440"/>
      <c r="H26" s="1440"/>
      <c r="I26" s="1440"/>
      <c r="J26" s="1440"/>
      <c r="K26" s="1440"/>
      <c r="L26" s="1440"/>
      <c r="M26" s="1440"/>
      <c r="N26" s="1440"/>
      <c r="O26" s="1440"/>
      <c r="P26" s="1440"/>
      <c r="Q26" s="1440"/>
      <c r="R26" s="1440"/>
      <c r="S26" s="1440"/>
      <c r="T26" s="1440"/>
      <c r="U26" s="1440"/>
      <c r="V26" s="1440"/>
      <c r="W26" s="1440"/>
      <c r="X26" s="1440"/>
      <c r="Y26" s="1440"/>
      <c r="Z26" s="99"/>
      <c r="AA26" s="99"/>
    </row>
    <row r="27" spans="1:27" s="95" customFormat="1" ht="27" customHeight="1" x14ac:dyDescent="0.25">
      <c r="A27" s="1440" t="s">
        <v>869</v>
      </c>
      <c r="B27" s="1440"/>
      <c r="C27" s="1440"/>
      <c r="D27" s="1440"/>
      <c r="E27" s="1440"/>
      <c r="F27" s="1440"/>
      <c r="G27" s="1440"/>
      <c r="H27" s="1440"/>
      <c r="I27" s="1440"/>
      <c r="J27" s="1440"/>
      <c r="K27" s="1440"/>
      <c r="L27" s="1440"/>
      <c r="M27" s="1440"/>
      <c r="N27" s="1440"/>
      <c r="O27" s="1440"/>
      <c r="P27" s="1440"/>
      <c r="Q27" s="1440"/>
      <c r="R27" s="1440"/>
      <c r="S27" s="1440"/>
      <c r="T27" s="1440"/>
      <c r="U27" s="1440"/>
      <c r="V27" s="1440"/>
      <c r="W27" s="1440"/>
      <c r="X27" s="1440"/>
      <c r="Y27" s="1440"/>
      <c r="Z27" s="99"/>
      <c r="AA27" s="99"/>
    </row>
    <row r="28" spans="1:27" s="95" customFormat="1" ht="18" customHeight="1" x14ac:dyDescent="0.25">
      <c r="A28" s="1440" t="s">
        <v>771</v>
      </c>
      <c r="B28" s="1440"/>
      <c r="C28" s="1440"/>
      <c r="D28" s="1440"/>
      <c r="E28" s="1440"/>
      <c r="F28" s="1440"/>
      <c r="G28" s="1440"/>
      <c r="H28" s="1440"/>
      <c r="I28" s="1440"/>
      <c r="J28" s="1440"/>
      <c r="K28" s="1440"/>
      <c r="L28" s="1440"/>
      <c r="M28" s="1440"/>
      <c r="N28" s="1440"/>
      <c r="O28" s="1440"/>
      <c r="P28" s="1440"/>
      <c r="Q28" s="1440"/>
      <c r="R28" s="1440"/>
      <c r="S28" s="1440"/>
      <c r="T28" s="1440"/>
      <c r="U28" s="1440"/>
      <c r="V28" s="1440"/>
      <c r="W28" s="1440"/>
      <c r="X28" s="1440"/>
      <c r="Y28" s="1440"/>
      <c r="Z28" s="99"/>
      <c r="AA28" s="99"/>
    </row>
    <row r="29" spans="1:27" s="95" customFormat="1" ht="33" customHeight="1" x14ac:dyDescent="0.25">
      <c r="A29" s="1440" t="s">
        <v>870</v>
      </c>
      <c r="B29" s="1440"/>
      <c r="C29" s="1440"/>
      <c r="D29" s="1440"/>
      <c r="E29" s="1440"/>
      <c r="F29" s="1440"/>
      <c r="G29" s="1440"/>
      <c r="H29" s="1440"/>
      <c r="I29" s="1440"/>
      <c r="J29" s="1440"/>
      <c r="K29" s="1440"/>
      <c r="L29" s="1440"/>
      <c r="M29" s="1440"/>
      <c r="N29" s="1440"/>
      <c r="O29" s="1440"/>
      <c r="P29" s="1440"/>
      <c r="Q29" s="1440"/>
      <c r="R29" s="1440"/>
      <c r="S29" s="1440"/>
      <c r="T29" s="1440"/>
      <c r="U29" s="1440"/>
      <c r="V29" s="1440"/>
      <c r="W29" s="1440"/>
      <c r="X29" s="1440"/>
      <c r="Y29" s="1440"/>
      <c r="Z29" s="99"/>
      <c r="AA29" s="99"/>
    </row>
    <row r="30" spans="1:27" s="98" customFormat="1" ht="13.5" customHeight="1" x14ac:dyDescent="0.25">
      <c r="A30" s="1440" t="s">
        <v>871</v>
      </c>
      <c r="B30" s="1440"/>
      <c r="C30" s="1440"/>
      <c r="D30" s="1440"/>
      <c r="E30" s="1440"/>
      <c r="F30" s="1440"/>
      <c r="G30" s="1440"/>
      <c r="H30" s="1440"/>
      <c r="I30" s="1440"/>
      <c r="J30" s="1440"/>
      <c r="K30" s="1440"/>
      <c r="L30" s="1440"/>
      <c r="M30" s="1440"/>
      <c r="N30" s="1440"/>
      <c r="O30" s="1440"/>
      <c r="P30" s="1440"/>
      <c r="Q30" s="1440"/>
      <c r="R30" s="1440"/>
      <c r="S30" s="1440"/>
      <c r="T30" s="1440"/>
      <c r="U30" s="1440"/>
      <c r="V30" s="1440"/>
      <c r="W30" s="1440"/>
      <c r="X30" s="1440"/>
      <c r="Y30" s="1440"/>
      <c r="Z30" s="99"/>
      <c r="AA30" s="99"/>
    </row>
    <row r="31" spans="1:27" s="98" customFormat="1" ht="15" customHeight="1" x14ac:dyDescent="0.25">
      <c r="A31" s="1440" t="s">
        <v>872</v>
      </c>
      <c r="B31" s="1440"/>
      <c r="C31" s="1440"/>
      <c r="D31" s="1440"/>
      <c r="E31" s="1440"/>
      <c r="F31" s="1440"/>
      <c r="G31" s="1440"/>
      <c r="H31" s="1440"/>
      <c r="I31" s="1440"/>
      <c r="J31" s="1440"/>
      <c r="K31" s="1440"/>
      <c r="L31" s="1440"/>
      <c r="M31" s="1440"/>
      <c r="N31" s="1440"/>
      <c r="O31" s="1440"/>
      <c r="P31" s="1440"/>
      <c r="Q31" s="1440"/>
      <c r="R31" s="1440"/>
      <c r="S31" s="1440"/>
      <c r="T31" s="1440"/>
      <c r="U31" s="1440"/>
      <c r="V31" s="1440"/>
      <c r="W31" s="1440"/>
      <c r="X31" s="1440"/>
      <c r="Y31" s="1440"/>
      <c r="Z31" s="99"/>
      <c r="AA31" s="99"/>
    </row>
    <row r="32" spans="1:27" s="62" customFormat="1" ht="14.25" customHeight="1" x14ac:dyDescent="0.25">
      <c r="A32" s="1125" t="s">
        <v>873</v>
      </c>
      <c r="B32" s="1125"/>
      <c r="C32" s="1125"/>
      <c r="D32" s="1125"/>
      <c r="E32" s="1125"/>
      <c r="F32" s="1125"/>
      <c r="G32" s="1125"/>
      <c r="H32" s="1125"/>
      <c r="I32" s="1125"/>
      <c r="J32" s="1125"/>
      <c r="K32" s="1125"/>
      <c r="L32" s="1125"/>
      <c r="M32" s="1125"/>
      <c r="N32" s="1125"/>
      <c r="O32" s="1125"/>
      <c r="P32" s="1125"/>
      <c r="Q32" s="1125"/>
      <c r="R32" s="1125"/>
      <c r="S32" s="1125"/>
      <c r="T32" s="1125"/>
      <c r="U32" s="1125"/>
      <c r="V32" s="1125"/>
      <c r="W32" s="1125"/>
      <c r="X32" s="1125"/>
      <c r="Y32" s="1125"/>
      <c r="Z32" s="80"/>
      <c r="AA32" s="80"/>
    </row>
    <row r="33" spans="1:35" s="62" customFormat="1" ht="14.25" customHeight="1" x14ac:dyDescent="0.25">
      <c r="A33" s="1125" t="s">
        <v>874</v>
      </c>
      <c r="B33" s="1125"/>
      <c r="C33" s="1125"/>
      <c r="D33" s="1125"/>
      <c r="E33" s="1125"/>
      <c r="F33" s="1125"/>
      <c r="G33" s="1125"/>
      <c r="H33" s="1125"/>
      <c r="I33" s="1125"/>
      <c r="J33" s="1125"/>
      <c r="K33" s="1125"/>
      <c r="L33" s="1125"/>
      <c r="M33" s="1125"/>
      <c r="N33" s="1125"/>
      <c r="O33" s="1125"/>
      <c r="P33" s="1125"/>
      <c r="Q33" s="1125"/>
      <c r="R33" s="1125"/>
      <c r="S33" s="1125"/>
      <c r="T33" s="1125"/>
      <c r="U33" s="1125"/>
      <c r="V33" s="1125"/>
      <c r="W33" s="1125"/>
      <c r="X33" s="1125"/>
      <c r="Y33" s="1125"/>
      <c r="Z33" s="80"/>
      <c r="AA33" s="80"/>
    </row>
    <row r="34" spans="1:35" s="62" customFormat="1" ht="14.25" customHeight="1" x14ac:dyDescent="0.25">
      <c r="A34" s="1125" t="s">
        <v>875</v>
      </c>
      <c r="B34" s="1125"/>
      <c r="C34" s="1125"/>
      <c r="D34" s="1125"/>
      <c r="E34" s="1125"/>
      <c r="F34" s="1125"/>
      <c r="G34" s="1125"/>
      <c r="H34" s="1125"/>
      <c r="I34" s="1125"/>
      <c r="J34" s="1125"/>
      <c r="K34" s="1125"/>
      <c r="L34" s="1125"/>
      <c r="M34" s="1125"/>
      <c r="N34" s="1125"/>
      <c r="O34" s="1125"/>
      <c r="P34" s="1125"/>
      <c r="Q34" s="1125"/>
      <c r="R34" s="1125"/>
      <c r="S34" s="1125"/>
      <c r="T34" s="1125"/>
      <c r="U34" s="1125"/>
      <c r="V34" s="1125"/>
      <c r="W34" s="1125"/>
      <c r="X34" s="1125"/>
      <c r="Y34" s="1125"/>
      <c r="Z34" s="80"/>
      <c r="AA34" s="80"/>
    </row>
    <row r="35" spans="1:35" s="62" customFormat="1" ht="14.25" customHeight="1" x14ac:dyDescent="0.25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</row>
    <row r="36" spans="1:35" s="61" customFormat="1" ht="18.75" customHeight="1" x14ac:dyDescent="0.25">
      <c r="A36" s="1117" t="s">
        <v>1172</v>
      </c>
      <c r="B36" s="1117"/>
      <c r="C36" s="1117"/>
      <c r="D36" s="1117"/>
      <c r="E36" s="1117"/>
      <c r="F36" s="1117"/>
      <c r="G36" s="1117"/>
      <c r="H36" s="1117"/>
      <c r="I36" s="1117"/>
      <c r="J36" s="1117"/>
      <c r="K36" s="1117"/>
      <c r="L36" s="1117"/>
      <c r="M36" s="1117"/>
      <c r="N36" s="1117"/>
      <c r="O36" s="1117"/>
      <c r="P36" s="1117"/>
      <c r="Q36" s="1117"/>
      <c r="R36" s="1117"/>
      <c r="S36" s="1117"/>
      <c r="T36" s="1117"/>
      <c r="U36" s="1117"/>
    </row>
    <row r="37" spans="1:35" s="61" customFormat="1" ht="9.75" customHeight="1" x14ac:dyDescent="0.2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</row>
    <row r="38" spans="1:35" ht="22.5" customHeight="1" x14ac:dyDescent="0.3">
      <c r="A38" s="1523" t="s">
        <v>1216</v>
      </c>
      <c r="B38" s="1523"/>
      <c r="C38" s="1523"/>
      <c r="D38" s="1523"/>
      <c r="E38" s="1523"/>
      <c r="F38" s="1523"/>
      <c r="G38" s="1523"/>
      <c r="H38" s="1523"/>
      <c r="I38" s="1523"/>
      <c r="J38" s="1523"/>
      <c r="K38" s="1523"/>
      <c r="L38" s="1523"/>
      <c r="M38" s="1523"/>
      <c r="N38" s="1523"/>
      <c r="O38" s="1523"/>
      <c r="P38" s="1523"/>
      <c r="Q38" s="1523"/>
      <c r="R38" s="1523"/>
      <c r="S38" s="1523"/>
      <c r="T38" s="1523"/>
      <c r="U38" s="1523"/>
      <c r="V38" s="1523"/>
      <c r="W38" s="1523"/>
      <c r="X38" s="1523"/>
      <c r="Y38" s="1523"/>
      <c r="Z38" s="10"/>
      <c r="AA38" s="10"/>
    </row>
    <row r="39" spans="1:35" s="52" customFormat="1" ht="24" customHeight="1" x14ac:dyDescent="0.25">
      <c r="A39" s="1576" t="s">
        <v>30</v>
      </c>
      <c r="B39" s="1575" t="s">
        <v>19</v>
      </c>
      <c r="C39" s="1575" t="s">
        <v>774</v>
      </c>
      <c r="D39" s="805" t="s">
        <v>31</v>
      </c>
      <c r="E39" s="805" t="s">
        <v>32</v>
      </c>
      <c r="F39" s="809" t="s">
        <v>33</v>
      </c>
      <c r="G39" s="809" t="s">
        <v>34</v>
      </c>
      <c r="H39" s="805" t="s">
        <v>35</v>
      </c>
      <c r="I39" s="805" t="s">
        <v>36</v>
      </c>
      <c r="J39" s="805" t="s">
        <v>37</v>
      </c>
      <c r="K39" s="805" t="s">
        <v>188</v>
      </c>
      <c r="L39" s="805" t="s">
        <v>189</v>
      </c>
      <c r="M39" s="809" t="s">
        <v>38</v>
      </c>
      <c r="N39" s="1580" t="s">
        <v>1217</v>
      </c>
      <c r="O39" s="809" t="s">
        <v>1218</v>
      </c>
      <c r="P39" s="809" t="s">
        <v>191</v>
      </c>
      <c r="Q39" s="805" t="s">
        <v>192</v>
      </c>
      <c r="R39" s="1576" t="s">
        <v>1219</v>
      </c>
      <c r="S39" s="805" t="s">
        <v>194</v>
      </c>
      <c r="T39" s="805" t="s">
        <v>195</v>
      </c>
      <c r="U39" s="1576" t="s">
        <v>196</v>
      </c>
      <c r="V39" s="1576" t="s">
        <v>42</v>
      </c>
      <c r="W39" s="805" t="s">
        <v>23</v>
      </c>
      <c r="X39" s="1578" t="s">
        <v>43</v>
      </c>
      <c r="Y39" s="1579"/>
      <c r="Z39" s="110"/>
      <c r="AA39" s="110"/>
    </row>
    <row r="40" spans="1:35" s="52" customFormat="1" ht="12.75" customHeight="1" x14ac:dyDescent="0.25">
      <c r="A40" s="1577"/>
      <c r="B40" s="1575"/>
      <c r="C40" s="1575"/>
      <c r="D40" s="808"/>
      <c r="E40" s="808"/>
      <c r="F40" s="810"/>
      <c r="G40" s="810"/>
      <c r="H40" s="808"/>
      <c r="I40" s="808"/>
      <c r="J40" s="808"/>
      <c r="K40" s="808"/>
      <c r="L40" s="808"/>
      <c r="M40" s="810"/>
      <c r="N40" s="1581"/>
      <c r="O40" s="810"/>
      <c r="P40" s="810"/>
      <c r="Q40" s="808"/>
      <c r="R40" s="1577"/>
      <c r="S40" s="808"/>
      <c r="T40" s="808"/>
      <c r="U40" s="1577"/>
      <c r="V40" s="1577"/>
      <c r="W40" s="808"/>
      <c r="X40" s="807" t="s">
        <v>46</v>
      </c>
      <c r="Y40" s="806" t="s">
        <v>45</v>
      </c>
      <c r="Z40" s="110"/>
      <c r="AA40" s="110"/>
    </row>
    <row r="41" spans="1:35" ht="14.25" customHeight="1" x14ac:dyDescent="0.25">
      <c r="A41" s="202">
        <v>1</v>
      </c>
      <c r="B41" s="249">
        <v>2</v>
      </c>
      <c r="C41" s="249">
        <v>3</v>
      </c>
      <c r="D41" s="202">
        <v>4</v>
      </c>
      <c r="E41" s="202">
        <v>5</v>
      </c>
      <c r="F41" s="250">
        <v>6</v>
      </c>
      <c r="G41" s="250">
        <v>7</v>
      </c>
      <c r="H41" s="202">
        <v>8</v>
      </c>
      <c r="I41" s="202">
        <v>9</v>
      </c>
      <c r="J41" s="202">
        <v>10</v>
      </c>
      <c r="K41" s="202">
        <v>11</v>
      </c>
      <c r="L41" s="202">
        <v>12</v>
      </c>
      <c r="M41" s="250">
        <v>13</v>
      </c>
      <c r="N41" s="250">
        <v>14</v>
      </c>
      <c r="O41" s="250">
        <v>15</v>
      </c>
      <c r="P41" s="250">
        <v>16</v>
      </c>
      <c r="Q41" s="202">
        <v>17</v>
      </c>
      <c r="R41" s="202">
        <v>18</v>
      </c>
      <c r="S41" s="202">
        <v>19</v>
      </c>
      <c r="T41" s="202">
        <v>20</v>
      </c>
      <c r="U41" s="202">
        <v>21</v>
      </c>
      <c r="V41" s="202">
        <v>22</v>
      </c>
      <c r="W41" s="202">
        <v>23</v>
      </c>
      <c r="X41" s="202">
        <v>24</v>
      </c>
      <c r="Y41" s="202">
        <v>25</v>
      </c>
      <c r="Z41" s="111"/>
      <c r="AA41" s="111"/>
    </row>
    <row r="42" spans="1:35" ht="15.75" x14ac:dyDescent="0.25">
      <c r="A42" s="1551" t="s">
        <v>201</v>
      </c>
      <c r="B42" s="1552"/>
      <c r="C42" s="1552"/>
      <c r="D42" s="1552"/>
      <c r="E42" s="1552"/>
      <c r="F42" s="1552"/>
      <c r="G42" s="1552"/>
      <c r="H42" s="1552"/>
      <c r="I42" s="1552"/>
      <c r="J42" s="1552"/>
      <c r="K42" s="1552"/>
      <c r="L42" s="1552"/>
      <c r="M42" s="1552"/>
      <c r="N42" s="1552"/>
      <c r="O42" s="1552"/>
      <c r="P42" s="1552"/>
      <c r="Q42" s="1552"/>
      <c r="R42" s="1552"/>
      <c r="S42" s="1552"/>
      <c r="T42" s="1552"/>
      <c r="U42" s="1552"/>
      <c r="V42" s="1552"/>
      <c r="W42" s="1552"/>
      <c r="X42" s="1552"/>
      <c r="Y42" s="1553"/>
      <c r="Z42" s="574"/>
      <c r="AA42" s="574"/>
    </row>
    <row r="43" spans="1:35" ht="23.25" customHeight="1" x14ac:dyDescent="0.25">
      <c r="A43" s="1559" t="s">
        <v>5</v>
      </c>
      <c r="B43" s="1560"/>
      <c r="C43" s="1560"/>
      <c r="D43" s="1560"/>
      <c r="E43" s="1560"/>
      <c r="F43" s="1560"/>
      <c r="G43" s="1560"/>
      <c r="H43" s="1560"/>
      <c r="I43" s="1560"/>
      <c r="J43" s="1560"/>
      <c r="K43" s="1560"/>
      <c r="L43" s="1560"/>
      <c r="M43" s="1560"/>
      <c r="N43" s="1560"/>
      <c r="O43" s="1560"/>
      <c r="P43" s="1560"/>
      <c r="Q43" s="1560"/>
      <c r="R43" s="1560"/>
      <c r="S43" s="1560"/>
      <c r="T43" s="1560"/>
      <c r="U43" s="1560"/>
      <c r="V43" s="1560"/>
      <c r="W43" s="1560"/>
      <c r="X43" s="1560"/>
      <c r="Y43" s="1561"/>
      <c r="Z43" s="575"/>
      <c r="AA43" s="575"/>
      <c r="AB43" s="2"/>
      <c r="AC43" s="2"/>
      <c r="AD43" s="2"/>
    </row>
    <row r="44" spans="1:35" ht="24" x14ac:dyDescent="0.25">
      <c r="A44" s="1564">
        <v>705201</v>
      </c>
      <c r="B44" s="45" t="s">
        <v>306</v>
      </c>
      <c r="C44" s="1567" t="s">
        <v>202</v>
      </c>
      <c r="D44" s="41">
        <v>0.05</v>
      </c>
      <c r="E44" s="41">
        <v>0.03</v>
      </c>
      <c r="F44" s="46">
        <v>1.4</v>
      </c>
      <c r="G44" s="41">
        <v>1</v>
      </c>
      <c r="H44" s="41">
        <v>0.01</v>
      </c>
      <c r="I44" s="41" t="s">
        <v>47</v>
      </c>
      <c r="J44" s="41">
        <v>0.5</v>
      </c>
      <c r="K44" s="41" t="s">
        <v>47</v>
      </c>
      <c r="L44" s="41" t="s">
        <v>47</v>
      </c>
      <c r="M44" s="41">
        <v>0.5</v>
      </c>
      <c r="N44" s="41">
        <v>15</v>
      </c>
      <c r="O44" s="41">
        <f>(30525)*0.1*1.97</f>
        <v>6013.4250000000002</v>
      </c>
      <c r="P44" s="41" t="s">
        <v>47</v>
      </c>
      <c r="Q44" s="41" t="s">
        <v>47</v>
      </c>
      <c r="R44" s="41" t="s">
        <v>47</v>
      </c>
      <c r="S44" s="41" t="s">
        <v>47</v>
      </c>
      <c r="T44" s="41" t="s">
        <v>47</v>
      </c>
      <c r="U44" s="1554" t="s">
        <v>16</v>
      </c>
      <c r="V44" s="1556">
        <v>2908</v>
      </c>
      <c r="W44" s="202">
        <v>0.85</v>
      </c>
      <c r="X44" s="202">
        <f>ROUND((D44*E44*F44*G44*H44*J44*N44*1000000*M44/3600)*(1-W44),4)</f>
        <v>3.3E-3</v>
      </c>
      <c r="Y44" s="202">
        <f>ROUND((D44*E44*F44*G44*H44*J44*M44*O44)*(1-W44),4)</f>
        <v>4.7000000000000002E-3</v>
      </c>
      <c r="Z44" s="107"/>
      <c r="AA44" s="107"/>
      <c r="AB44" s="2"/>
      <c r="AC44" s="1"/>
      <c r="AD44" s="2"/>
    </row>
    <row r="45" spans="1:35" ht="24" customHeight="1" x14ac:dyDescent="0.25">
      <c r="A45" s="1565"/>
      <c r="B45" s="45" t="s">
        <v>198</v>
      </c>
      <c r="C45" s="1568"/>
      <c r="D45" s="41">
        <v>0.05</v>
      </c>
      <c r="E45" s="41">
        <v>0.03</v>
      </c>
      <c r="F45" s="46">
        <v>1.4</v>
      </c>
      <c r="G45" s="41">
        <v>1</v>
      </c>
      <c r="H45" s="41">
        <v>0.01</v>
      </c>
      <c r="I45" s="41" t="s">
        <v>47</v>
      </c>
      <c r="J45" s="41">
        <v>0.5</v>
      </c>
      <c r="K45" s="41">
        <v>1</v>
      </c>
      <c r="L45" s="41">
        <v>0.1</v>
      </c>
      <c r="M45" s="41">
        <v>0.5</v>
      </c>
      <c r="N45" s="41">
        <v>368</v>
      </c>
      <c r="O45" s="41">
        <v>112627</v>
      </c>
      <c r="P45" s="41" t="s">
        <v>47</v>
      </c>
      <c r="Q45" s="41" t="s">
        <v>47</v>
      </c>
      <c r="R45" s="41" t="s">
        <v>47</v>
      </c>
      <c r="S45" s="41" t="s">
        <v>47</v>
      </c>
      <c r="T45" s="41" t="s">
        <v>47</v>
      </c>
      <c r="U45" s="1555"/>
      <c r="V45" s="1557"/>
      <c r="W45" s="41">
        <v>0</v>
      </c>
      <c r="X45" s="41">
        <f>ROUND((D45*E45*F45*G45*H45*J45*K45*L45*N45*1000000*M45/3600)*(1-W45),4)</f>
        <v>5.3699999999999998E-2</v>
      </c>
      <c r="Y45" s="41">
        <f>ROUND((D45*E45*F45*G45*H45*J45*K45*L45*M45*O45)*(1-W45),4)</f>
        <v>5.91E-2</v>
      </c>
      <c r="Z45" s="576"/>
      <c r="AA45" s="576"/>
      <c r="AB45" s="2"/>
      <c r="AC45">
        <v>63992.800000000003</v>
      </c>
      <c r="AD45" s="2"/>
      <c r="AG45" t="s">
        <v>520</v>
      </c>
    </row>
    <row r="46" spans="1:35" ht="36" x14ac:dyDescent="0.25">
      <c r="A46" s="1565"/>
      <c r="B46" s="45" t="s">
        <v>1068</v>
      </c>
      <c r="C46" s="1568"/>
      <c r="D46" s="41">
        <v>0.05</v>
      </c>
      <c r="E46" s="41">
        <v>0.03</v>
      </c>
      <c r="F46" s="46">
        <v>1.4</v>
      </c>
      <c r="G46" s="41">
        <v>1</v>
      </c>
      <c r="H46" s="41">
        <v>0.01</v>
      </c>
      <c r="I46" s="41" t="s">
        <v>47</v>
      </c>
      <c r="J46" s="41">
        <v>0.5</v>
      </c>
      <c r="K46" s="41" t="s">
        <v>47</v>
      </c>
      <c r="L46" s="41" t="s">
        <v>47</v>
      </c>
      <c r="M46" s="41">
        <v>0.5</v>
      </c>
      <c r="N46" s="41">
        <v>368</v>
      </c>
      <c r="O46" s="41">
        <v>112627</v>
      </c>
      <c r="P46" s="41" t="s">
        <v>47</v>
      </c>
      <c r="Q46" s="41" t="s">
        <v>47</v>
      </c>
      <c r="R46" s="41" t="s">
        <v>47</v>
      </c>
      <c r="S46" s="41" t="s">
        <v>47</v>
      </c>
      <c r="T46" s="41" t="s">
        <v>47</v>
      </c>
      <c r="U46" s="1555"/>
      <c r="V46" s="1557"/>
      <c r="W46" s="41">
        <v>0.85</v>
      </c>
      <c r="X46" s="41">
        <f>ROUND((D46*E46*F46*G46*H46*J46*N46*1000000*M46/3600)*(1-W46),4)</f>
        <v>8.0500000000000002E-2</v>
      </c>
      <c r="Y46" s="41">
        <f>ROUND((D46*E46*F46*G46*H46*J46*M46*O46)*(1-W46),4)</f>
        <v>8.8700000000000001E-2</v>
      </c>
      <c r="Z46" s="576"/>
      <c r="AA46" s="576"/>
      <c r="AB46" s="2"/>
      <c r="AC46" s="1" t="s">
        <v>199</v>
      </c>
      <c r="AD46" s="1"/>
    </row>
    <row r="47" spans="1:35" ht="21" customHeight="1" x14ac:dyDescent="0.25">
      <c r="A47" s="1566"/>
      <c r="B47" s="45" t="s">
        <v>200</v>
      </c>
      <c r="C47" s="1569"/>
      <c r="D47" s="41" t="s">
        <v>47</v>
      </c>
      <c r="E47" s="41" t="s">
        <v>47</v>
      </c>
      <c r="F47" s="46">
        <v>1.4</v>
      </c>
      <c r="G47" s="41">
        <v>1</v>
      </c>
      <c r="H47" s="41">
        <v>0.01</v>
      </c>
      <c r="I47" s="41">
        <v>1.3</v>
      </c>
      <c r="J47" s="41">
        <v>0.5</v>
      </c>
      <c r="K47" s="41" t="s">
        <v>47</v>
      </c>
      <c r="L47" s="41" t="s">
        <v>47</v>
      </c>
      <c r="M47" s="41" t="s">
        <v>47</v>
      </c>
      <c r="N47" s="41" t="s">
        <v>47</v>
      </c>
      <c r="O47" s="41" t="s">
        <v>47</v>
      </c>
      <c r="P47" s="41">
        <v>2E-3</v>
      </c>
      <c r="Q47" s="41">
        <f>ROUND((AC45/AC47),0)</f>
        <v>13911</v>
      </c>
      <c r="R47" s="41">
        <v>24</v>
      </c>
      <c r="S47" s="41">
        <v>84</v>
      </c>
      <c r="T47" s="41">
        <v>129</v>
      </c>
      <c r="U47" s="1555"/>
      <c r="V47" s="1558"/>
      <c r="W47" s="41">
        <v>0.85</v>
      </c>
      <c r="X47" s="41">
        <f>ROUND((F47*G47*H47*I47*J47*P47*Q47)*(1-W47),4)</f>
        <v>3.7999999999999999E-2</v>
      </c>
      <c r="Y47" s="41">
        <f>ROUND((((X47*R47*(365-T47-S47)*3600)/1000000)),4)</f>
        <v>0.499</v>
      </c>
      <c r="Z47" s="576"/>
      <c r="AA47" s="576"/>
      <c r="AB47" s="2"/>
      <c r="AC47" s="11">
        <v>4.5999999999999996</v>
      </c>
      <c r="AD47" s="1"/>
    </row>
    <row r="48" spans="1:35" ht="51.75" customHeight="1" x14ac:dyDescent="0.25">
      <c r="A48" s="1562" t="s">
        <v>1259</v>
      </c>
      <c r="B48" s="1563"/>
      <c r="C48" s="1563"/>
      <c r="D48" s="1563"/>
      <c r="E48" s="1563"/>
      <c r="F48" s="1563"/>
      <c r="G48" s="1563"/>
      <c r="H48" s="1563"/>
      <c r="I48" s="1563"/>
      <c r="J48" s="1563"/>
      <c r="K48" s="1563"/>
      <c r="L48" s="1563"/>
      <c r="M48" s="1563"/>
      <c r="N48" s="1563"/>
      <c r="O48" s="1563"/>
      <c r="P48" s="1563"/>
      <c r="Q48" s="1563"/>
      <c r="R48" s="1563"/>
      <c r="S48" s="1563"/>
      <c r="T48" s="1563"/>
      <c r="U48" s="251" t="s">
        <v>16</v>
      </c>
      <c r="V48" s="251">
        <v>2908</v>
      </c>
      <c r="W48" s="251"/>
      <c r="X48" s="251">
        <f>X44+X45+X46+X47</f>
        <v>0.17550000000000002</v>
      </c>
      <c r="Y48" s="251">
        <f>SUM(Y44:Y47)</f>
        <v>0.65149999999999997</v>
      </c>
      <c r="Z48" s="100">
        <f>X48</f>
        <v>0.17550000000000002</v>
      </c>
      <c r="AA48" s="100">
        <f>Y48</f>
        <v>0.65149999999999997</v>
      </c>
      <c r="AB48" s="2"/>
      <c r="AC48" s="2"/>
      <c r="AD48" s="2"/>
      <c r="AE48" s="2"/>
      <c r="AF48" s="2"/>
      <c r="AG48" s="2"/>
      <c r="AH48" s="2"/>
      <c r="AI48" s="2"/>
    </row>
    <row r="49" spans="1:30" x14ac:dyDescent="0.25">
      <c r="A49" s="1559" t="s">
        <v>11</v>
      </c>
      <c r="B49" s="1560"/>
      <c r="C49" s="1560"/>
      <c r="D49" s="1560"/>
      <c r="E49" s="1560"/>
      <c r="F49" s="1560"/>
      <c r="G49" s="1560"/>
      <c r="H49" s="1560"/>
      <c r="I49" s="1560"/>
      <c r="J49" s="1560"/>
      <c r="K49" s="1560"/>
      <c r="L49" s="1560"/>
      <c r="M49" s="1560"/>
      <c r="N49" s="1560"/>
      <c r="O49" s="1560"/>
      <c r="P49" s="1560"/>
      <c r="Q49" s="1560"/>
      <c r="R49" s="1560"/>
      <c r="S49" s="1560"/>
      <c r="T49" s="1560"/>
      <c r="U49" s="1560"/>
      <c r="V49" s="1560"/>
      <c r="W49" s="1560"/>
      <c r="X49" s="1560"/>
      <c r="Y49" s="1561"/>
      <c r="Z49" s="575"/>
      <c r="AA49" s="575"/>
      <c r="AB49" s="2"/>
      <c r="AC49" s="2"/>
    </row>
    <row r="50" spans="1:30" ht="24" x14ac:dyDescent="0.25">
      <c r="A50" s="1415">
        <v>705201</v>
      </c>
      <c r="B50" s="45" t="s">
        <v>198</v>
      </c>
      <c r="C50" s="1567" t="s">
        <v>202</v>
      </c>
      <c r="D50" s="41">
        <v>0.05</v>
      </c>
      <c r="E50" s="41">
        <v>0.03</v>
      </c>
      <c r="F50" s="46">
        <v>1.4</v>
      </c>
      <c r="G50" s="41">
        <v>1</v>
      </c>
      <c r="H50" s="41">
        <v>0.01</v>
      </c>
      <c r="I50" s="41" t="s">
        <v>47</v>
      </c>
      <c r="J50" s="41">
        <v>0.5</v>
      </c>
      <c r="K50" s="41">
        <v>1</v>
      </c>
      <c r="L50" s="41">
        <v>0.1</v>
      </c>
      <c r="M50" s="41">
        <v>0.5</v>
      </c>
      <c r="N50" s="41">
        <v>158</v>
      </c>
      <c r="O50" s="41">
        <v>42810</v>
      </c>
      <c r="P50" s="41" t="s">
        <v>47</v>
      </c>
      <c r="Q50" s="41" t="s">
        <v>47</v>
      </c>
      <c r="R50" s="41" t="s">
        <v>47</v>
      </c>
      <c r="S50" s="41" t="s">
        <v>47</v>
      </c>
      <c r="T50" s="41" t="s">
        <v>47</v>
      </c>
      <c r="U50" s="1415" t="s">
        <v>16</v>
      </c>
      <c r="V50" s="1415">
        <v>2908</v>
      </c>
      <c r="W50" s="41">
        <v>0</v>
      </c>
      <c r="X50" s="41">
        <f>ROUND((D50*E50*F50*G50*H50*J50*K50*L50*N50*1000000*M50/3600)*(1-W50),4)</f>
        <v>2.3E-2</v>
      </c>
      <c r="Y50" s="41">
        <f>ROUND((D50*E50*F50*G50*H50*J50*K50*L50*M50*O50)*(1-W50),4)</f>
        <v>2.2499999999999999E-2</v>
      </c>
      <c r="Z50" s="576"/>
      <c r="AA50" s="576"/>
      <c r="AB50" s="2"/>
      <c r="AC50">
        <v>24323.8</v>
      </c>
    </row>
    <row r="51" spans="1:30" ht="36" x14ac:dyDescent="0.25">
      <c r="A51" s="1416"/>
      <c r="B51" s="45" t="s">
        <v>1068</v>
      </c>
      <c r="C51" s="1570"/>
      <c r="D51" s="41">
        <v>0.05</v>
      </c>
      <c r="E51" s="41">
        <v>0.03</v>
      </c>
      <c r="F51" s="46">
        <v>1.4</v>
      </c>
      <c r="G51" s="41">
        <v>1</v>
      </c>
      <c r="H51" s="41">
        <v>0.01</v>
      </c>
      <c r="I51" s="41" t="s">
        <v>47</v>
      </c>
      <c r="J51" s="41">
        <v>0.5</v>
      </c>
      <c r="K51" s="41" t="s">
        <v>47</v>
      </c>
      <c r="L51" s="41" t="s">
        <v>47</v>
      </c>
      <c r="M51" s="41">
        <v>0.5</v>
      </c>
      <c r="N51" s="41">
        <v>158</v>
      </c>
      <c r="O51" s="41">
        <v>42810</v>
      </c>
      <c r="P51" s="41" t="s">
        <v>47</v>
      </c>
      <c r="Q51" s="41" t="s">
        <v>47</v>
      </c>
      <c r="R51" s="41" t="s">
        <v>47</v>
      </c>
      <c r="S51" s="41" t="s">
        <v>47</v>
      </c>
      <c r="T51" s="41" t="s">
        <v>47</v>
      </c>
      <c r="U51" s="1416"/>
      <c r="V51" s="1416"/>
      <c r="W51" s="41">
        <v>0.85</v>
      </c>
      <c r="X51" s="41">
        <f>ROUND((D51*E51*F51*G51*H51*J51*N51*1000000*M51/3600)*(1-W51),4)</f>
        <v>3.4599999999999999E-2</v>
      </c>
      <c r="Y51" s="41">
        <f>ROUND((D51*E51*F51*G51*H51*J51*M51*O51)*(1-W51),4)</f>
        <v>3.3700000000000001E-2</v>
      </c>
      <c r="Z51" s="576"/>
      <c r="AA51" s="576"/>
      <c r="AB51" s="2"/>
      <c r="AC51" s="1" t="s">
        <v>199</v>
      </c>
    </row>
    <row r="52" spans="1:30" x14ac:dyDescent="0.25">
      <c r="A52" s="1416"/>
      <c r="B52" s="23" t="s">
        <v>521</v>
      </c>
      <c r="C52" s="1570"/>
      <c r="D52" s="41" t="s">
        <v>47</v>
      </c>
      <c r="E52" s="41" t="s">
        <v>47</v>
      </c>
      <c r="F52" s="46">
        <v>1.4</v>
      </c>
      <c r="G52" s="41">
        <v>1</v>
      </c>
      <c r="H52" s="41">
        <v>0.01</v>
      </c>
      <c r="I52" s="41">
        <v>1.3</v>
      </c>
      <c r="J52" s="41">
        <v>0.5</v>
      </c>
      <c r="K52" s="41" t="s">
        <v>47</v>
      </c>
      <c r="L52" s="41" t="s">
        <v>47</v>
      </c>
      <c r="M52" s="41" t="s">
        <v>47</v>
      </c>
      <c r="N52" s="41" t="s">
        <v>47</v>
      </c>
      <c r="O52" s="41" t="s">
        <v>47</v>
      </c>
      <c r="P52" s="41">
        <v>2E-3</v>
      </c>
      <c r="Q52" s="41">
        <f>ROUND((AC50/AC52)+Q47,0)</f>
        <v>19199</v>
      </c>
      <c r="R52" s="41">
        <v>24</v>
      </c>
      <c r="S52" s="41">
        <v>144</v>
      </c>
      <c r="T52" s="41">
        <v>129</v>
      </c>
      <c r="U52" s="1416"/>
      <c r="V52" s="1416"/>
      <c r="W52" s="41">
        <v>0.85</v>
      </c>
      <c r="X52" s="41">
        <f>ROUND((F52*G52*H52*I52*J52*P52*Q52)*(1-W52),4)</f>
        <v>5.2400000000000002E-2</v>
      </c>
      <c r="Y52" s="41">
        <f>ROUND((((X52*R52*(365-T52-S52)*3600)/1000000)),4)</f>
        <v>0.41649999999999998</v>
      </c>
      <c r="Z52" s="576"/>
      <c r="AA52" s="576"/>
      <c r="AB52" s="2"/>
      <c r="AC52" s="1">
        <v>4.5999999999999996</v>
      </c>
    </row>
    <row r="53" spans="1:30" ht="42" customHeight="1" x14ac:dyDescent="0.25">
      <c r="A53" s="1562" t="s">
        <v>1259</v>
      </c>
      <c r="B53" s="1563"/>
      <c r="C53" s="1563"/>
      <c r="D53" s="1563"/>
      <c r="E53" s="1563"/>
      <c r="F53" s="1563"/>
      <c r="G53" s="1563"/>
      <c r="H53" s="1563"/>
      <c r="I53" s="1563"/>
      <c r="J53" s="1563"/>
      <c r="K53" s="1563"/>
      <c r="L53" s="1563"/>
      <c r="M53" s="1563"/>
      <c r="N53" s="1563"/>
      <c r="O53" s="1563"/>
      <c r="P53" s="1563"/>
      <c r="Q53" s="1563"/>
      <c r="R53" s="1563"/>
      <c r="S53" s="1563"/>
      <c r="T53" s="1563"/>
      <c r="U53" s="303" t="s">
        <v>16</v>
      </c>
      <c r="V53" s="303">
        <v>2908</v>
      </c>
      <c r="W53" s="251"/>
      <c r="X53" s="251">
        <f>X50+X51+X52</f>
        <v>0.11</v>
      </c>
      <c r="Y53" s="251">
        <f>SUM(Y50:Y52)</f>
        <v>0.47270000000000001</v>
      </c>
      <c r="Z53" s="100">
        <f>X53</f>
        <v>0.11</v>
      </c>
      <c r="AA53" s="100">
        <f>Y53</f>
        <v>0.47270000000000001</v>
      </c>
      <c r="AB53" s="2"/>
      <c r="AC53" s="2"/>
    </row>
    <row r="54" spans="1:30" x14ac:dyDescent="0.25">
      <c r="A54" s="1559" t="s">
        <v>60</v>
      </c>
      <c r="B54" s="1560"/>
      <c r="C54" s="1560"/>
      <c r="D54" s="1560"/>
      <c r="E54" s="1560"/>
      <c r="F54" s="1560"/>
      <c r="G54" s="1560"/>
      <c r="H54" s="1560"/>
      <c r="I54" s="1560"/>
      <c r="J54" s="1560"/>
      <c r="K54" s="1560"/>
      <c r="L54" s="1560"/>
      <c r="M54" s="1560"/>
      <c r="N54" s="1560"/>
      <c r="O54" s="1560"/>
      <c r="P54" s="1560"/>
      <c r="Q54" s="1560"/>
      <c r="R54" s="1560"/>
      <c r="S54" s="1560"/>
      <c r="T54" s="1560"/>
      <c r="U54" s="1560"/>
      <c r="V54" s="1560"/>
      <c r="W54" s="1560"/>
      <c r="X54" s="1560"/>
      <c r="Y54" s="1561"/>
      <c r="Z54" s="575"/>
      <c r="AA54" s="575"/>
      <c r="AB54" s="2"/>
      <c r="AC54" s="2"/>
    </row>
    <row r="55" spans="1:30" ht="24" x14ac:dyDescent="0.25">
      <c r="A55" s="1415">
        <v>705201</v>
      </c>
      <c r="B55" s="45" t="s">
        <v>198</v>
      </c>
      <c r="C55" s="1567" t="s">
        <v>202</v>
      </c>
      <c r="D55" s="41">
        <v>0.05</v>
      </c>
      <c r="E55" s="41">
        <v>0.03</v>
      </c>
      <c r="F55" s="46">
        <v>1.4</v>
      </c>
      <c r="G55" s="41">
        <v>1</v>
      </c>
      <c r="H55" s="41">
        <v>0.01</v>
      </c>
      <c r="I55" s="41" t="s">
        <v>47</v>
      </c>
      <c r="J55" s="41">
        <v>0.5</v>
      </c>
      <c r="K55" s="41">
        <v>1</v>
      </c>
      <c r="L55" s="41">
        <v>0.1</v>
      </c>
      <c r="M55" s="41">
        <v>0.5</v>
      </c>
      <c r="N55" s="41">
        <v>140</v>
      </c>
      <c r="O55" s="41">
        <v>10675</v>
      </c>
      <c r="P55" s="41" t="s">
        <v>47</v>
      </c>
      <c r="Q55" s="41" t="s">
        <v>47</v>
      </c>
      <c r="R55" s="41" t="s">
        <v>47</v>
      </c>
      <c r="S55" s="41" t="s">
        <v>47</v>
      </c>
      <c r="T55" s="41" t="s">
        <v>47</v>
      </c>
      <c r="U55" s="1415" t="s">
        <v>16</v>
      </c>
      <c r="V55" s="1415">
        <v>2908</v>
      </c>
      <c r="W55" s="41">
        <v>0</v>
      </c>
      <c r="X55" s="23">
        <f>ROUND((D55*E55*F55*G55*H55*J55*K55*L55*N55*1000000*M55/3600)*(1-W55),4)</f>
        <v>2.0400000000000001E-2</v>
      </c>
      <c r="Y55" s="23">
        <f>ROUND((D55*E55*F55*G55*H55*J55*K55*L55*M55*O55)*(1-W55),4)</f>
        <v>5.5999999999999999E-3</v>
      </c>
      <c r="Z55" s="576"/>
      <c r="AA55" s="576"/>
      <c r="AB55" s="2"/>
      <c r="AC55">
        <v>6065.4</v>
      </c>
    </row>
    <row r="56" spans="1:30" ht="36" x14ac:dyDescent="0.25">
      <c r="A56" s="1416"/>
      <c r="B56" s="45" t="s">
        <v>1068</v>
      </c>
      <c r="C56" s="1570"/>
      <c r="D56" s="41">
        <v>0.05</v>
      </c>
      <c r="E56" s="41">
        <v>0.03</v>
      </c>
      <c r="F56" s="46">
        <v>1.4</v>
      </c>
      <c r="G56" s="41">
        <v>1</v>
      </c>
      <c r="H56" s="41">
        <v>0.01</v>
      </c>
      <c r="I56" s="41" t="s">
        <v>47</v>
      </c>
      <c r="J56" s="41">
        <v>0.5</v>
      </c>
      <c r="K56" s="41" t="s">
        <v>47</v>
      </c>
      <c r="L56" s="41" t="s">
        <v>47</v>
      </c>
      <c r="M56" s="41">
        <v>0.5</v>
      </c>
      <c r="N56" s="41">
        <v>140</v>
      </c>
      <c r="O56" s="41">
        <v>10675</v>
      </c>
      <c r="P56" s="41" t="s">
        <v>47</v>
      </c>
      <c r="Q56" s="41" t="s">
        <v>47</v>
      </c>
      <c r="R56" s="41" t="s">
        <v>47</v>
      </c>
      <c r="S56" s="41" t="s">
        <v>47</v>
      </c>
      <c r="T56" s="41" t="s">
        <v>47</v>
      </c>
      <c r="U56" s="1416"/>
      <c r="V56" s="1416"/>
      <c r="W56" s="41">
        <v>0.85</v>
      </c>
      <c r="X56" s="41">
        <f>ROUND((D56*E56*F56*G56*H56*J56*N56*1000000*M56/3600)*(1-W56),4)</f>
        <v>3.0599999999999999E-2</v>
      </c>
      <c r="Y56" s="41">
        <f>ROUND((D56*E56*F56*G56*H56*J56*M56*O56)*(1-W56),4)</f>
        <v>8.3999999999999995E-3</v>
      </c>
      <c r="Z56" s="576"/>
      <c r="AA56" s="576"/>
      <c r="AB56" s="2"/>
      <c r="AC56" t="s">
        <v>199</v>
      </c>
    </row>
    <row r="57" spans="1:30" x14ac:dyDescent="0.25">
      <c r="A57" s="1416"/>
      <c r="B57" s="304" t="s">
        <v>521</v>
      </c>
      <c r="C57" s="1570"/>
      <c r="D57" s="305" t="s">
        <v>47</v>
      </c>
      <c r="E57" s="305" t="s">
        <v>47</v>
      </c>
      <c r="F57" s="314">
        <v>1.4</v>
      </c>
      <c r="G57" s="305">
        <v>1</v>
      </c>
      <c r="H57" s="305">
        <v>0.01</v>
      </c>
      <c r="I57" s="305">
        <v>1.3</v>
      </c>
      <c r="J57" s="305">
        <v>0.5</v>
      </c>
      <c r="K57" s="305" t="s">
        <v>47</v>
      </c>
      <c r="L57" s="305" t="s">
        <v>47</v>
      </c>
      <c r="M57" s="305" t="s">
        <v>47</v>
      </c>
      <c r="N57" s="305" t="s">
        <v>47</v>
      </c>
      <c r="O57" s="305" t="s">
        <v>47</v>
      </c>
      <c r="P57" s="305">
        <v>2E-3</v>
      </c>
      <c r="Q57" s="305">
        <v>20500</v>
      </c>
      <c r="R57" s="305">
        <v>24</v>
      </c>
      <c r="S57" s="305">
        <v>144</v>
      </c>
      <c r="T57" s="305">
        <v>129</v>
      </c>
      <c r="U57" s="1416"/>
      <c r="V57" s="1416"/>
      <c r="W57" s="305">
        <v>0.85</v>
      </c>
      <c r="X57" s="305">
        <f>ROUND((F57*G57*H57*I57*J57*P57*Q57)*(1-W57),4)</f>
        <v>5.6000000000000001E-2</v>
      </c>
      <c r="Y57" s="305">
        <f>ROUND((((X57*R57*(365-T57-S57)*3600)/1000000)),4)</f>
        <v>0.4451</v>
      </c>
      <c r="Z57" s="576"/>
      <c r="AA57" s="576"/>
      <c r="AB57" s="2"/>
      <c r="AC57">
        <v>4.5999999999999996</v>
      </c>
    </row>
    <row r="58" spans="1:30" ht="24" x14ac:dyDescent="0.25">
      <c r="A58" s="1191"/>
      <c r="B58" s="23" t="s">
        <v>609</v>
      </c>
      <c r="C58" s="1572"/>
      <c r="D58" s="23">
        <v>0.05</v>
      </c>
      <c r="E58" s="23">
        <v>0.03</v>
      </c>
      <c r="F58" s="23">
        <v>1.4</v>
      </c>
      <c r="G58" s="23">
        <v>1</v>
      </c>
      <c r="H58" s="23">
        <v>0.01</v>
      </c>
      <c r="I58" s="23" t="s">
        <v>47</v>
      </c>
      <c r="J58" s="23">
        <v>0.5</v>
      </c>
      <c r="K58" s="23" t="s">
        <v>47</v>
      </c>
      <c r="L58" s="23" t="s">
        <v>47</v>
      </c>
      <c r="M58" s="23">
        <v>0.5</v>
      </c>
      <c r="N58" s="23">
        <v>40</v>
      </c>
      <c r="O58" s="23">
        <v>47809</v>
      </c>
      <c r="P58" s="23" t="s">
        <v>47</v>
      </c>
      <c r="Q58" s="23" t="s">
        <v>47</v>
      </c>
      <c r="R58" s="23" t="s">
        <v>47</v>
      </c>
      <c r="S58" s="23" t="s">
        <v>47</v>
      </c>
      <c r="T58" s="23" t="s">
        <v>47</v>
      </c>
      <c r="U58" s="23"/>
      <c r="V58" s="23"/>
      <c r="W58" s="23">
        <v>0</v>
      </c>
      <c r="X58" s="23">
        <f>ROUND((D58*E58*F58*G58*H58*J58*N58*1000000*M58/3600)*(1-W58),4)</f>
        <v>5.8299999999999998E-2</v>
      </c>
      <c r="Y58" s="23">
        <f>ROUND((D58*E58*F58*G58*H58*J58*M58*O58)*(1-W58),4)</f>
        <v>0.251</v>
      </c>
      <c r="Z58" s="576"/>
      <c r="AA58" s="576"/>
      <c r="AB58" s="2"/>
      <c r="AC58">
        <v>27164</v>
      </c>
      <c r="AD58" t="s">
        <v>1071</v>
      </c>
    </row>
    <row r="59" spans="1:30" ht="35.25" customHeight="1" x14ac:dyDescent="0.25">
      <c r="A59" s="1562" t="s">
        <v>1259</v>
      </c>
      <c r="B59" s="1571"/>
      <c r="C59" s="1571"/>
      <c r="D59" s="1571"/>
      <c r="E59" s="1571"/>
      <c r="F59" s="1571"/>
      <c r="G59" s="1571"/>
      <c r="H59" s="1571"/>
      <c r="I59" s="1571"/>
      <c r="J59" s="1571"/>
      <c r="K59" s="1571"/>
      <c r="L59" s="1571"/>
      <c r="M59" s="1571"/>
      <c r="N59" s="1571"/>
      <c r="O59" s="1571"/>
      <c r="P59" s="1571"/>
      <c r="Q59" s="1571"/>
      <c r="R59" s="1571"/>
      <c r="S59" s="1571"/>
      <c r="T59" s="1571"/>
      <c r="U59" s="251" t="s">
        <v>16</v>
      </c>
      <c r="V59" s="251">
        <v>2908</v>
      </c>
      <c r="W59" s="251"/>
      <c r="X59" s="251">
        <f>X55+X56+X57+X58</f>
        <v>0.1653</v>
      </c>
      <c r="Y59" s="251">
        <f>SUM(Y55:Y58)</f>
        <v>0.71009999999999995</v>
      </c>
      <c r="Z59" s="100">
        <f>X59</f>
        <v>0.1653</v>
      </c>
      <c r="AA59" s="100">
        <f>Y59</f>
        <v>0.71009999999999995</v>
      </c>
      <c r="AB59" s="2"/>
      <c r="AC59" s="2"/>
    </row>
    <row r="60" spans="1:30" x14ac:dyDescent="0.25">
      <c r="A60" s="1559" t="s">
        <v>63</v>
      </c>
      <c r="B60" s="1560"/>
      <c r="C60" s="1560"/>
      <c r="D60" s="1560"/>
      <c r="E60" s="1560"/>
      <c r="F60" s="1560"/>
      <c r="G60" s="1560"/>
      <c r="H60" s="1560"/>
      <c r="I60" s="1560"/>
      <c r="J60" s="1560"/>
      <c r="K60" s="1560"/>
      <c r="L60" s="1560"/>
      <c r="M60" s="1560"/>
      <c r="N60" s="1560"/>
      <c r="O60" s="1560"/>
      <c r="P60" s="1560"/>
      <c r="Q60" s="1560"/>
      <c r="R60" s="1560"/>
      <c r="S60" s="1560"/>
      <c r="T60" s="1560"/>
      <c r="U60" s="1560"/>
      <c r="V60" s="1560"/>
      <c r="W60" s="1560"/>
      <c r="X60" s="1560"/>
      <c r="Y60" s="1561"/>
      <c r="Z60" s="575"/>
      <c r="AA60" s="575"/>
      <c r="AB60" s="2"/>
      <c r="AC60" s="2"/>
    </row>
    <row r="61" spans="1:30" ht="24" x14ac:dyDescent="0.25">
      <c r="A61" s="1415">
        <v>705201</v>
      </c>
      <c r="B61" s="45" t="s">
        <v>198</v>
      </c>
      <c r="C61" s="1567" t="s">
        <v>202</v>
      </c>
      <c r="D61" s="41">
        <v>0.05</v>
      </c>
      <c r="E61" s="41">
        <v>0.03</v>
      </c>
      <c r="F61" s="46">
        <v>1.4</v>
      </c>
      <c r="G61" s="41">
        <v>1</v>
      </c>
      <c r="H61" s="41">
        <v>0.01</v>
      </c>
      <c r="I61" s="41" t="s">
        <v>47</v>
      </c>
      <c r="J61" s="41">
        <v>0.5</v>
      </c>
      <c r="K61" s="41">
        <v>1</v>
      </c>
      <c r="L61" s="41">
        <v>0.1</v>
      </c>
      <c r="M61" s="41">
        <v>0.5</v>
      </c>
      <c r="N61" s="41">
        <v>70</v>
      </c>
      <c r="O61" s="41">
        <v>5224</v>
      </c>
      <c r="P61" s="41" t="s">
        <v>47</v>
      </c>
      <c r="Q61" s="41" t="s">
        <v>47</v>
      </c>
      <c r="R61" s="41" t="s">
        <v>47</v>
      </c>
      <c r="S61" s="41" t="s">
        <v>47</v>
      </c>
      <c r="T61" s="41" t="s">
        <v>47</v>
      </c>
      <c r="U61" s="1415" t="s">
        <v>16</v>
      </c>
      <c r="V61" s="1415">
        <v>2908</v>
      </c>
      <c r="W61" s="41">
        <v>0</v>
      </c>
      <c r="X61" s="41">
        <f>ROUND((D61*E61*F61*G61*H61*J61*K61*L61*N61*1000000*M61/3600)*(1-W61),4)</f>
        <v>1.0200000000000001E-2</v>
      </c>
      <c r="Y61" s="41">
        <f>ROUND((D61*E61*F61*G61*H61*J61*K61*L61*M61*O61)*(1-W61),4)</f>
        <v>2.7000000000000001E-3</v>
      </c>
      <c r="Z61" s="576"/>
      <c r="AA61" s="576"/>
      <c r="AB61" s="2"/>
      <c r="AC61">
        <v>2968.6</v>
      </c>
    </row>
    <row r="62" spans="1:30" ht="36" x14ac:dyDescent="0.25">
      <c r="A62" s="1416"/>
      <c r="B62" s="45" t="s">
        <v>1068</v>
      </c>
      <c r="C62" s="1570"/>
      <c r="D62" s="41">
        <v>0.05</v>
      </c>
      <c r="E62" s="41">
        <v>0.03</v>
      </c>
      <c r="F62" s="46">
        <v>1.4</v>
      </c>
      <c r="G62" s="41">
        <v>1</v>
      </c>
      <c r="H62" s="41">
        <v>0.01</v>
      </c>
      <c r="I62" s="41" t="s">
        <v>47</v>
      </c>
      <c r="J62" s="41">
        <v>0.5</v>
      </c>
      <c r="K62" s="41" t="s">
        <v>47</v>
      </c>
      <c r="L62" s="41" t="s">
        <v>47</v>
      </c>
      <c r="M62" s="41">
        <v>0.5</v>
      </c>
      <c r="N62" s="41">
        <v>70</v>
      </c>
      <c r="O62" s="41">
        <v>5224</v>
      </c>
      <c r="P62" s="41" t="s">
        <v>47</v>
      </c>
      <c r="Q62" s="41" t="s">
        <v>47</v>
      </c>
      <c r="R62" s="41" t="s">
        <v>47</v>
      </c>
      <c r="S62" s="41" t="s">
        <v>47</v>
      </c>
      <c r="T62" s="41" t="s">
        <v>47</v>
      </c>
      <c r="U62" s="1416"/>
      <c r="V62" s="1416"/>
      <c r="W62" s="41">
        <v>0.85</v>
      </c>
      <c r="X62" s="41">
        <f>ROUND((D62*E62*F62*G62*H62*J62*N62*1000000*M62/3600)*(1-W62),4)</f>
        <v>1.5299999999999999E-2</v>
      </c>
      <c r="Y62" s="41">
        <f>ROUND((D62*E62*F62*G62*H62*J62*M62*O62)*(1-W62),4)</f>
        <v>4.1000000000000003E-3</v>
      </c>
      <c r="Z62" s="576"/>
      <c r="AA62" s="576"/>
      <c r="AB62" s="2"/>
      <c r="AC62" s="1" t="s">
        <v>199</v>
      </c>
    </row>
    <row r="63" spans="1:30" x14ac:dyDescent="0.25">
      <c r="A63" s="1416"/>
      <c r="B63" s="23" t="s">
        <v>521</v>
      </c>
      <c r="C63" s="1570"/>
      <c r="D63" s="41" t="s">
        <v>47</v>
      </c>
      <c r="E63" s="41" t="s">
        <v>47</v>
      </c>
      <c r="F63" s="46">
        <v>1.4</v>
      </c>
      <c r="G63" s="41">
        <v>1</v>
      </c>
      <c r="H63" s="41">
        <v>0.01</v>
      </c>
      <c r="I63" s="41">
        <v>1.3</v>
      </c>
      <c r="J63" s="41">
        <v>0.5</v>
      </c>
      <c r="K63" s="41" t="s">
        <v>47</v>
      </c>
      <c r="L63" s="41" t="s">
        <v>47</v>
      </c>
      <c r="M63" s="41" t="s">
        <v>47</v>
      </c>
      <c r="N63" s="41" t="s">
        <v>47</v>
      </c>
      <c r="O63" s="41" t="s">
        <v>47</v>
      </c>
      <c r="P63" s="41">
        <v>2E-3</v>
      </c>
      <c r="Q63" s="41">
        <f>ROUND((AC61/AC63)+(Q57-AC58/AC57),0)</f>
        <v>15240</v>
      </c>
      <c r="R63" s="41">
        <v>24</v>
      </c>
      <c r="S63" s="41">
        <v>144</v>
      </c>
      <c r="T63" s="41">
        <v>129</v>
      </c>
      <c r="U63" s="1416"/>
      <c r="V63" s="1416"/>
      <c r="W63" s="41">
        <v>0.85</v>
      </c>
      <c r="X63" s="41">
        <f>ROUND((F63*G63*H63*I63*J63*P63*Q63)*(1-W63),4)</f>
        <v>4.1599999999999998E-2</v>
      </c>
      <c r="Y63" s="41">
        <f>ROUND((((X63*R63*(365-T63-S63)*3600)/1000000)),4)</f>
        <v>0.33069999999999999</v>
      </c>
      <c r="Z63" s="576"/>
      <c r="AA63" s="576"/>
      <c r="AB63" s="2"/>
      <c r="AC63" s="1">
        <v>4.5999999999999996</v>
      </c>
    </row>
    <row r="64" spans="1:30" ht="36" customHeight="1" x14ac:dyDescent="0.25">
      <c r="A64" s="1562" t="s">
        <v>1259</v>
      </c>
      <c r="B64" s="1563"/>
      <c r="C64" s="1563"/>
      <c r="D64" s="1563"/>
      <c r="E64" s="1563"/>
      <c r="F64" s="1563"/>
      <c r="G64" s="1563"/>
      <c r="H64" s="1563"/>
      <c r="I64" s="1563"/>
      <c r="J64" s="1563"/>
      <c r="K64" s="1563"/>
      <c r="L64" s="1563"/>
      <c r="M64" s="1563"/>
      <c r="N64" s="1563"/>
      <c r="O64" s="1563"/>
      <c r="P64" s="1563"/>
      <c r="Q64" s="1563"/>
      <c r="R64" s="1563"/>
      <c r="S64" s="1563"/>
      <c r="T64" s="1563"/>
      <c r="U64" s="303" t="s">
        <v>16</v>
      </c>
      <c r="V64" s="303">
        <v>2908</v>
      </c>
      <c r="W64" s="251"/>
      <c r="X64" s="251">
        <f>X61+X62+X63</f>
        <v>6.7099999999999993E-2</v>
      </c>
      <c r="Y64" s="251">
        <f>SUM(Y61:Y63)</f>
        <v>0.33750000000000002</v>
      </c>
      <c r="Z64" s="100">
        <f>X64</f>
        <v>6.7099999999999993E-2</v>
      </c>
      <c r="AA64" s="100">
        <f>Y64</f>
        <v>0.33750000000000002</v>
      </c>
      <c r="AB64" s="2"/>
      <c r="AC64" s="2"/>
    </row>
  </sheetData>
  <mergeCells count="64">
    <mergeCell ref="B39:B40"/>
    <mergeCell ref="C39:C40"/>
    <mergeCell ref="U39:U40"/>
    <mergeCell ref="V39:V40"/>
    <mergeCell ref="A31:Y31"/>
    <mergeCell ref="A32:Y32"/>
    <mergeCell ref="A33:Y33"/>
    <mergeCell ref="A34:Y34"/>
    <mergeCell ref="A36:U36"/>
    <mergeCell ref="A38:Y38"/>
    <mergeCell ref="X39:Y39"/>
    <mergeCell ref="A39:A40"/>
    <mergeCell ref="N39:N40"/>
    <mergeCell ref="R39:R40"/>
    <mergeCell ref="A26:Y26"/>
    <mergeCell ref="A27:Y27"/>
    <mergeCell ref="A28:Y28"/>
    <mergeCell ref="A29:Y29"/>
    <mergeCell ref="A30:Y30"/>
    <mergeCell ref="A21:Y21"/>
    <mergeCell ref="A22:Y22"/>
    <mergeCell ref="A23:Y23"/>
    <mergeCell ref="A24:Y24"/>
    <mergeCell ref="A25:Y25"/>
    <mergeCell ref="A16:V16"/>
    <mergeCell ref="A17:V17"/>
    <mergeCell ref="A18:Y18"/>
    <mergeCell ref="A19:Y19"/>
    <mergeCell ref="A20:Y20"/>
    <mergeCell ref="A9:Y9"/>
    <mergeCell ref="A10:Y10"/>
    <mergeCell ref="A12:Y12"/>
    <mergeCell ref="A13:Y13"/>
    <mergeCell ref="A15:O15"/>
    <mergeCell ref="A3:O3"/>
    <mergeCell ref="A4:Y4"/>
    <mergeCell ref="A6:V6"/>
    <mergeCell ref="B7:U7"/>
    <mergeCell ref="A1:Y1"/>
    <mergeCell ref="U55:U57"/>
    <mergeCell ref="V55:V57"/>
    <mergeCell ref="A64:T64"/>
    <mergeCell ref="A59:T59"/>
    <mergeCell ref="A60:Y60"/>
    <mergeCell ref="A61:A63"/>
    <mergeCell ref="C61:C63"/>
    <mergeCell ref="U61:U63"/>
    <mergeCell ref="V61:V63"/>
    <mergeCell ref="A55:A58"/>
    <mergeCell ref="C55:C58"/>
    <mergeCell ref="A42:Y42"/>
    <mergeCell ref="U44:U47"/>
    <mergeCell ref="V44:V47"/>
    <mergeCell ref="A54:Y54"/>
    <mergeCell ref="A43:Y43"/>
    <mergeCell ref="A48:T48"/>
    <mergeCell ref="A49:Y49"/>
    <mergeCell ref="A44:A47"/>
    <mergeCell ref="C44:C47"/>
    <mergeCell ref="A53:T53"/>
    <mergeCell ref="A50:A52"/>
    <mergeCell ref="C50:C52"/>
    <mergeCell ref="U50:U52"/>
    <mergeCell ref="V50:V52"/>
  </mergeCells>
  <pageMargins left="0.31496062992125984" right="0.31496062992125984" top="0.78740157480314965" bottom="0.39370078740157483" header="0.31496062992125984" footer="0.19685039370078741"/>
  <pageSetup paperSize="9" firstPageNumber="108" orientation="landscape" useFirstPageNumber="1" r:id="rId1"/>
  <headerFooter>
    <oddFooter>&amp;R&amp;P</oddFooter>
  </headerFooter>
  <rowBreaks count="1" manualBreakCount="1">
    <brk id="24" max="2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C5158-1003-440B-8782-7056F92B5D7F}">
  <dimension ref="A1:AD46"/>
  <sheetViews>
    <sheetView view="pageBreakPreview" topLeftCell="A28" zoomScaleNormal="100" zoomScaleSheetLayoutView="100" workbookViewId="0">
      <selection activeCell="A41" sqref="A41:A44"/>
    </sheetView>
  </sheetViews>
  <sheetFormatPr defaultRowHeight="15" x14ac:dyDescent="0.25"/>
  <cols>
    <col min="1" max="1" width="4.28515625" customWidth="1"/>
    <col min="2" max="2" width="14.42578125" customWidth="1"/>
    <col min="3" max="3" width="12.28515625" customWidth="1"/>
    <col min="4" max="4" width="4.7109375" customWidth="1"/>
    <col min="5" max="5" width="4.28515625" customWidth="1"/>
    <col min="6" max="6" width="4" customWidth="1"/>
    <col min="7" max="7" width="3.85546875" customWidth="1"/>
    <col min="8" max="8" width="4.28515625" customWidth="1"/>
    <col min="9" max="9" width="4.140625" customWidth="1"/>
    <col min="10" max="10" width="3.7109375" customWidth="1"/>
    <col min="11" max="11" width="3.5703125" customWidth="1"/>
    <col min="12" max="12" width="3.7109375" customWidth="1"/>
    <col min="13" max="13" width="3.28515625" customWidth="1"/>
    <col min="14" max="14" width="4.5703125" customWidth="1"/>
    <col min="15" max="15" width="6.42578125" customWidth="1"/>
    <col min="16" max="16" width="5.140625" customWidth="1"/>
    <col min="17" max="17" width="6.140625" customWidth="1"/>
    <col min="18" max="18" width="4.5703125" customWidth="1"/>
    <col min="19" max="20" width="3.7109375" customWidth="1"/>
    <col min="21" max="21" width="12.7109375" customWidth="1"/>
    <col min="22" max="22" width="4.7109375" customWidth="1"/>
    <col min="23" max="23" width="5.140625" customWidth="1"/>
    <col min="24" max="24" width="6.85546875" customWidth="1"/>
    <col min="25" max="25" width="6.7109375" customWidth="1"/>
    <col min="26" max="26" width="8.85546875" style="3" customWidth="1"/>
    <col min="27" max="27" width="11.7109375" style="3" customWidth="1"/>
    <col min="28" max="28" width="9.140625" style="3"/>
  </cols>
  <sheetData>
    <row r="1" spans="1:30" ht="18.75" x14ac:dyDescent="0.3">
      <c r="A1" s="236" t="s">
        <v>1170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8"/>
      <c r="R1" s="238"/>
      <c r="S1" s="238"/>
      <c r="T1" s="238"/>
      <c r="U1" s="238"/>
      <c r="V1" s="239"/>
      <c r="W1" s="238"/>
      <c r="X1" s="238"/>
      <c r="Y1" s="238"/>
      <c r="Z1" s="10"/>
      <c r="AA1" s="10"/>
    </row>
    <row r="2" spans="1:30" ht="22.5" customHeight="1" x14ac:dyDescent="0.25">
      <c r="A2" s="1415" t="s">
        <v>30</v>
      </c>
      <c r="B2" s="1554" t="s">
        <v>19</v>
      </c>
      <c r="C2" s="1554" t="s">
        <v>2</v>
      </c>
      <c r="D2" s="240" t="s">
        <v>31</v>
      </c>
      <c r="E2" s="240" t="s">
        <v>32</v>
      </c>
      <c r="F2" s="241" t="s">
        <v>33</v>
      </c>
      <c r="G2" s="241" t="s">
        <v>34</v>
      </c>
      <c r="H2" s="240" t="s">
        <v>35</v>
      </c>
      <c r="I2" s="240" t="s">
        <v>36</v>
      </c>
      <c r="J2" s="240" t="s">
        <v>37</v>
      </c>
      <c r="K2" s="240" t="s">
        <v>188</v>
      </c>
      <c r="L2" s="240" t="s">
        <v>189</v>
      </c>
      <c r="M2" s="241" t="s">
        <v>38</v>
      </c>
      <c r="N2" s="242" t="s">
        <v>190</v>
      </c>
      <c r="O2" s="242" t="s">
        <v>1001</v>
      </c>
      <c r="P2" s="241" t="s">
        <v>191</v>
      </c>
      <c r="Q2" s="240" t="s">
        <v>192</v>
      </c>
      <c r="R2" s="240" t="s">
        <v>193</v>
      </c>
      <c r="S2" s="240" t="s">
        <v>194</v>
      </c>
      <c r="T2" s="240" t="s">
        <v>195</v>
      </c>
      <c r="U2" s="1415" t="s">
        <v>196</v>
      </c>
      <c r="V2" s="1591" t="s">
        <v>42</v>
      </c>
      <c r="W2" s="243" t="s">
        <v>23</v>
      </c>
      <c r="X2" s="1589" t="s">
        <v>43</v>
      </c>
      <c r="Y2" s="1590"/>
      <c r="Z2" s="89"/>
      <c r="AA2" s="89"/>
    </row>
    <row r="3" spans="1:30" x14ac:dyDescent="0.25">
      <c r="A3" s="1417"/>
      <c r="B3" s="1554"/>
      <c r="C3" s="1554"/>
      <c r="D3" s="245"/>
      <c r="E3" s="246"/>
      <c r="F3" s="247"/>
      <c r="G3" s="247"/>
      <c r="H3" s="246"/>
      <c r="I3" s="246"/>
      <c r="J3" s="246"/>
      <c r="K3" s="246"/>
      <c r="L3" s="246"/>
      <c r="M3" s="247"/>
      <c r="N3" s="248" t="s">
        <v>44</v>
      </c>
      <c r="O3" s="248" t="s">
        <v>45</v>
      </c>
      <c r="P3" s="247"/>
      <c r="Q3" s="246"/>
      <c r="R3" s="246" t="s">
        <v>197</v>
      </c>
      <c r="S3" s="246"/>
      <c r="T3" s="246"/>
      <c r="U3" s="1417"/>
      <c r="V3" s="1592"/>
      <c r="W3" s="246"/>
      <c r="X3" s="244" t="s">
        <v>46</v>
      </c>
      <c r="Y3" s="23" t="s">
        <v>45</v>
      </c>
      <c r="Z3" s="89"/>
      <c r="AA3" s="89"/>
    </row>
    <row r="4" spans="1:30" x14ac:dyDescent="0.25">
      <c r="A4" s="202">
        <v>1</v>
      </c>
      <c r="B4" s="249">
        <v>2</v>
      </c>
      <c r="C4" s="249">
        <v>3</v>
      </c>
      <c r="D4" s="202">
        <v>4</v>
      </c>
      <c r="E4" s="202">
        <v>5</v>
      </c>
      <c r="F4" s="250">
        <v>6</v>
      </c>
      <c r="G4" s="250">
        <v>7</v>
      </c>
      <c r="H4" s="202">
        <v>8</v>
      </c>
      <c r="I4" s="202">
        <v>9</v>
      </c>
      <c r="J4" s="202">
        <v>10</v>
      </c>
      <c r="K4" s="202">
        <v>11</v>
      </c>
      <c r="L4" s="202">
        <v>12</v>
      </c>
      <c r="M4" s="250">
        <v>13</v>
      </c>
      <c r="N4" s="250">
        <v>14</v>
      </c>
      <c r="O4" s="250">
        <v>15</v>
      </c>
      <c r="P4" s="250">
        <v>16</v>
      </c>
      <c r="Q4" s="202">
        <v>17</v>
      </c>
      <c r="R4" s="202">
        <v>18</v>
      </c>
      <c r="S4" s="202">
        <v>19</v>
      </c>
      <c r="T4" s="202">
        <v>20</v>
      </c>
      <c r="U4" s="202">
        <v>21</v>
      </c>
      <c r="V4" s="202">
        <v>22</v>
      </c>
      <c r="W4" s="202">
        <v>23</v>
      </c>
      <c r="X4" s="202">
        <v>24</v>
      </c>
      <c r="Y4" s="202">
        <v>25</v>
      </c>
      <c r="Z4" s="768"/>
      <c r="AA4" s="768"/>
    </row>
    <row r="5" spans="1:30" x14ac:dyDescent="0.25">
      <c r="A5" s="1582" t="s">
        <v>1072</v>
      </c>
      <c r="B5" s="1583"/>
      <c r="C5" s="1583"/>
      <c r="D5" s="1583"/>
      <c r="E5" s="1583"/>
      <c r="F5" s="1583"/>
      <c r="G5" s="1583"/>
      <c r="H5" s="1583"/>
      <c r="I5" s="1583"/>
      <c r="J5" s="1583"/>
      <c r="K5" s="1583"/>
      <c r="L5" s="1583"/>
      <c r="M5" s="1583"/>
      <c r="N5" s="1583"/>
      <c r="O5" s="1583"/>
      <c r="P5" s="1583"/>
      <c r="Q5" s="1583"/>
      <c r="R5" s="1583"/>
      <c r="S5" s="1583"/>
      <c r="T5" s="1583"/>
      <c r="U5" s="1583"/>
      <c r="V5" s="1583"/>
      <c r="W5" s="1583"/>
      <c r="X5" s="1583"/>
      <c r="Y5" s="1584"/>
      <c r="Z5" s="4"/>
      <c r="AA5" s="4"/>
      <c r="AB5" s="4"/>
      <c r="AC5" s="2"/>
    </row>
    <row r="6" spans="1:30" x14ac:dyDescent="0.25">
      <c r="A6" s="1559" t="s">
        <v>5</v>
      </c>
      <c r="B6" s="1560"/>
      <c r="C6" s="1560"/>
      <c r="D6" s="1560"/>
      <c r="E6" s="1560"/>
      <c r="F6" s="1560"/>
      <c r="G6" s="1560"/>
      <c r="H6" s="1560"/>
      <c r="I6" s="1560"/>
      <c r="J6" s="1560"/>
      <c r="K6" s="1560"/>
      <c r="L6" s="1560"/>
      <c r="M6" s="1560"/>
      <c r="N6" s="1560"/>
      <c r="O6" s="1560"/>
      <c r="P6" s="1560"/>
      <c r="Q6" s="1560"/>
      <c r="R6" s="1560"/>
      <c r="S6" s="1560"/>
      <c r="T6" s="1560"/>
      <c r="U6" s="1560"/>
      <c r="V6" s="1560"/>
      <c r="W6" s="1560"/>
      <c r="X6" s="1560"/>
      <c r="Y6" s="1561"/>
      <c r="Z6" s="4"/>
      <c r="AA6" s="4"/>
      <c r="AB6" s="4"/>
      <c r="AC6" s="2"/>
    </row>
    <row r="7" spans="1:30" x14ac:dyDescent="0.25">
      <c r="A7" s="1586" t="s">
        <v>1077</v>
      </c>
      <c r="B7" s="1587"/>
      <c r="C7" s="1587"/>
      <c r="D7" s="1587"/>
      <c r="E7" s="1587"/>
      <c r="F7" s="1587"/>
      <c r="G7" s="1587"/>
      <c r="H7" s="1587"/>
      <c r="I7" s="1587"/>
      <c r="J7" s="1587"/>
      <c r="K7" s="1587"/>
      <c r="L7" s="1587"/>
      <c r="M7" s="1587"/>
      <c r="N7" s="1587"/>
      <c r="O7" s="1587"/>
      <c r="P7" s="1587"/>
      <c r="Q7" s="1587"/>
      <c r="R7" s="1587"/>
      <c r="S7" s="1587"/>
      <c r="T7" s="1587"/>
      <c r="U7" s="1587"/>
      <c r="V7" s="1587"/>
      <c r="W7" s="1587"/>
      <c r="X7" s="1587"/>
      <c r="Y7" s="1588"/>
      <c r="Z7" s="4"/>
      <c r="AA7" s="4"/>
      <c r="AB7" s="4"/>
      <c r="AC7" s="2"/>
    </row>
    <row r="8" spans="1:30" ht="24" x14ac:dyDescent="0.25">
      <c r="A8" s="1415">
        <v>7064</v>
      </c>
      <c r="B8" s="45" t="s">
        <v>198</v>
      </c>
      <c r="C8" s="1415" t="s">
        <v>359</v>
      </c>
      <c r="D8" s="41">
        <v>0.02</v>
      </c>
      <c r="E8" s="41">
        <v>0.01</v>
      </c>
      <c r="F8" s="46">
        <v>1.4</v>
      </c>
      <c r="G8" s="41">
        <v>1</v>
      </c>
      <c r="H8" s="41">
        <v>0.01</v>
      </c>
      <c r="I8" s="41" t="s">
        <v>47</v>
      </c>
      <c r="J8" s="41">
        <v>0.4</v>
      </c>
      <c r="K8" s="41">
        <v>1</v>
      </c>
      <c r="L8" s="41">
        <v>0.1</v>
      </c>
      <c r="M8" s="41">
        <v>0.5</v>
      </c>
      <c r="N8" s="41">
        <v>392</v>
      </c>
      <c r="O8" s="41">
        <v>31538</v>
      </c>
      <c r="P8" s="41" t="s">
        <v>47</v>
      </c>
      <c r="Q8" s="41" t="s">
        <v>47</v>
      </c>
      <c r="R8" s="41" t="s">
        <v>47</v>
      </c>
      <c r="S8" s="41" t="s">
        <v>47</v>
      </c>
      <c r="T8" s="41" t="s">
        <v>47</v>
      </c>
      <c r="U8" s="1415" t="s">
        <v>1073</v>
      </c>
      <c r="V8" s="1415">
        <v>2908</v>
      </c>
      <c r="W8" s="41">
        <v>0</v>
      </c>
      <c r="X8" s="41">
        <f>ROUND((D8*E8*F8*G8*H8*J8*K8*L8*N8*1000000*M8/3600)*(1-W8),4)</f>
        <v>6.1000000000000004E-3</v>
      </c>
      <c r="Y8" s="41">
        <f>ROUND((D8*E8*F8*G8*H8*J8*K8*L8*M8*O8)*(1-W8),4)</f>
        <v>1.8E-3</v>
      </c>
      <c r="Z8" s="4"/>
      <c r="AA8" s="4"/>
      <c r="AB8" s="4"/>
      <c r="AC8" s="2"/>
    </row>
    <row r="9" spans="1:30" ht="41.25" customHeight="1" x14ac:dyDescent="0.25">
      <c r="A9" s="1416"/>
      <c r="B9" s="45" t="s">
        <v>1068</v>
      </c>
      <c r="C9" s="1585"/>
      <c r="D9" s="41">
        <v>0.02</v>
      </c>
      <c r="E9" s="41">
        <v>0.01</v>
      </c>
      <c r="F9" s="46">
        <v>1.4</v>
      </c>
      <c r="G9" s="41">
        <v>1</v>
      </c>
      <c r="H9" s="41">
        <v>0.01</v>
      </c>
      <c r="I9" s="41" t="s">
        <v>47</v>
      </c>
      <c r="J9" s="41">
        <v>0.4</v>
      </c>
      <c r="K9" s="41" t="s">
        <v>47</v>
      </c>
      <c r="L9" s="41" t="s">
        <v>47</v>
      </c>
      <c r="M9" s="41">
        <v>0.5</v>
      </c>
      <c r="N9" s="41">
        <v>392</v>
      </c>
      <c r="O9" s="41">
        <v>31538</v>
      </c>
      <c r="P9" s="41" t="s">
        <v>47</v>
      </c>
      <c r="Q9" s="41" t="s">
        <v>47</v>
      </c>
      <c r="R9" s="41" t="s">
        <v>47</v>
      </c>
      <c r="S9" s="41" t="s">
        <v>47</v>
      </c>
      <c r="T9" s="41" t="s">
        <v>47</v>
      </c>
      <c r="U9" s="1416"/>
      <c r="V9" s="1416"/>
      <c r="W9" s="41">
        <v>0.85</v>
      </c>
      <c r="X9" s="41">
        <f>ROUND((D9*E9*F9*G9*H9*J9*N9*1000000*M9/3600)*(1-W9),4)</f>
        <v>9.1000000000000004E-3</v>
      </c>
      <c r="Y9" s="41">
        <f>ROUND((D9*E9*F9*G9*H9*J9*M9*O9)*(1-W9),4)</f>
        <v>2.5999999999999999E-3</v>
      </c>
      <c r="Z9" s="3" t="s">
        <v>1074</v>
      </c>
      <c r="AD9">
        <v>11263.6</v>
      </c>
    </row>
    <row r="10" spans="1:30" x14ac:dyDescent="0.25">
      <c r="A10" s="1416"/>
      <c r="B10" s="45" t="s">
        <v>200</v>
      </c>
      <c r="C10" s="1585"/>
      <c r="D10" s="41" t="s">
        <v>47</v>
      </c>
      <c r="E10" s="41" t="s">
        <v>47</v>
      </c>
      <c r="F10" s="46">
        <v>1.4</v>
      </c>
      <c r="G10" s="41">
        <v>1</v>
      </c>
      <c r="H10" s="41">
        <v>0.01</v>
      </c>
      <c r="I10" s="41">
        <v>1.3</v>
      </c>
      <c r="J10" s="41">
        <v>0.4</v>
      </c>
      <c r="K10" s="41" t="s">
        <v>47</v>
      </c>
      <c r="L10" s="41" t="s">
        <v>47</v>
      </c>
      <c r="M10" s="41" t="s">
        <v>47</v>
      </c>
      <c r="N10" s="41" t="s">
        <v>47</v>
      </c>
      <c r="O10" s="41" t="s">
        <v>47</v>
      </c>
      <c r="P10" s="41">
        <v>2E-3</v>
      </c>
      <c r="Q10" s="41">
        <v>500</v>
      </c>
      <c r="R10" s="41">
        <v>24</v>
      </c>
      <c r="S10" s="41">
        <v>0</v>
      </c>
      <c r="T10" s="41">
        <v>10</v>
      </c>
      <c r="U10" s="1416"/>
      <c r="V10" s="1416"/>
      <c r="W10" s="41">
        <v>0.85</v>
      </c>
      <c r="X10" s="41">
        <f>ROUND((F10*G10*H10*I10*J10*P10*Q10)*(1-W10),4)</f>
        <v>1.1000000000000001E-3</v>
      </c>
      <c r="Y10" s="41">
        <f>ROUND((((X10*R10*(31-T10-S10)*3600)/1000000)),4)</f>
        <v>2E-3</v>
      </c>
      <c r="Z10" s="3" t="s">
        <v>1075</v>
      </c>
      <c r="AB10" s="4"/>
      <c r="AC10" s="2"/>
    </row>
    <row r="11" spans="1:30" ht="24" x14ac:dyDescent="0.25">
      <c r="A11" s="1191"/>
      <c r="B11" s="45" t="s">
        <v>1076</v>
      </c>
      <c r="C11" s="1191"/>
      <c r="D11" s="41">
        <v>0.02</v>
      </c>
      <c r="E11" s="41">
        <v>0.01</v>
      </c>
      <c r="F11" s="46">
        <v>1.4</v>
      </c>
      <c r="G11" s="41">
        <v>1</v>
      </c>
      <c r="H11" s="41">
        <v>0.01</v>
      </c>
      <c r="I11" s="41" t="s">
        <v>47</v>
      </c>
      <c r="J11" s="41">
        <v>0.4</v>
      </c>
      <c r="K11" s="41" t="s">
        <v>47</v>
      </c>
      <c r="L11" s="41" t="s">
        <v>47</v>
      </c>
      <c r="M11" s="41">
        <v>0.5</v>
      </c>
      <c r="N11" s="41">
        <v>392</v>
      </c>
      <c r="O11" s="41">
        <v>31538</v>
      </c>
      <c r="P11" s="41" t="s">
        <v>47</v>
      </c>
      <c r="Q11" s="41" t="s">
        <v>47</v>
      </c>
      <c r="R11" s="41" t="s">
        <v>47</v>
      </c>
      <c r="S11" s="41" t="s">
        <v>47</v>
      </c>
      <c r="T11" s="41" t="s">
        <v>47</v>
      </c>
      <c r="U11" s="1417"/>
      <c r="V11" s="1417"/>
      <c r="W11" s="41">
        <v>0</v>
      </c>
      <c r="X11" s="41">
        <f>ROUND((D11*E11*F11*G11*H11*J11*N11*1000000*M11/3600)*(1-W11),4)</f>
        <v>6.0999999999999999E-2</v>
      </c>
      <c r="Y11" s="41">
        <f>ROUND((D11*E11*F11*G11*H11*J11*M11*O11)*(1-W11),4)</f>
        <v>1.77E-2</v>
      </c>
      <c r="Z11" s="4"/>
      <c r="AA11" s="4"/>
      <c r="AB11" s="4"/>
      <c r="AC11" s="2"/>
    </row>
    <row r="12" spans="1:30" ht="48" x14ac:dyDescent="0.25">
      <c r="A12" s="1562" t="s">
        <v>1187</v>
      </c>
      <c r="B12" s="1563"/>
      <c r="C12" s="1563"/>
      <c r="D12" s="1563"/>
      <c r="E12" s="1563"/>
      <c r="F12" s="1563"/>
      <c r="G12" s="1563"/>
      <c r="H12" s="1563"/>
      <c r="I12" s="1563"/>
      <c r="J12" s="1563"/>
      <c r="K12" s="1563"/>
      <c r="L12" s="1563"/>
      <c r="M12" s="1563"/>
      <c r="N12" s="1563"/>
      <c r="O12" s="1563"/>
      <c r="P12" s="1563"/>
      <c r="Q12" s="1563"/>
      <c r="R12" s="1563"/>
      <c r="S12" s="1563"/>
      <c r="T12" s="1563"/>
      <c r="U12" s="251" t="s">
        <v>1073</v>
      </c>
      <c r="V12" s="251">
        <v>2908</v>
      </c>
      <c r="W12" s="251"/>
      <c r="X12" s="251">
        <f>X8+X9+X10+X11</f>
        <v>7.7300000000000008E-2</v>
      </c>
      <c r="Y12" s="251">
        <f>SUM(Y8:Y11)</f>
        <v>2.41E-2</v>
      </c>
      <c r="Z12" s="896"/>
      <c r="AA12" s="896"/>
      <c r="AB12" s="4"/>
      <c r="AC12" s="2"/>
    </row>
    <row r="13" spans="1:30" x14ac:dyDescent="0.25">
      <c r="A13" s="1586" t="s">
        <v>1084</v>
      </c>
      <c r="B13" s="1587"/>
      <c r="C13" s="1587"/>
      <c r="D13" s="1587"/>
      <c r="E13" s="1587"/>
      <c r="F13" s="1587"/>
      <c r="G13" s="1587"/>
      <c r="H13" s="1587"/>
      <c r="I13" s="1587"/>
      <c r="J13" s="1587"/>
      <c r="K13" s="1587"/>
      <c r="L13" s="1587"/>
      <c r="M13" s="1587"/>
      <c r="N13" s="1587"/>
      <c r="O13" s="1587"/>
      <c r="P13" s="1587"/>
      <c r="Q13" s="1587"/>
      <c r="R13" s="1587"/>
      <c r="S13" s="1587"/>
      <c r="T13" s="1587"/>
      <c r="U13" s="1587"/>
      <c r="V13" s="1587"/>
      <c r="W13" s="1587"/>
      <c r="X13" s="1587"/>
      <c r="Y13" s="1588"/>
      <c r="Z13" s="4"/>
      <c r="AA13" s="4"/>
      <c r="AB13" s="4"/>
      <c r="AC13" s="2"/>
    </row>
    <row r="14" spans="1:30" ht="24" x14ac:dyDescent="0.25">
      <c r="A14" s="1415">
        <v>7112</v>
      </c>
      <c r="B14" s="45" t="s">
        <v>198</v>
      </c>
      <c r="C14" s="1415" t="s">
        <v>1083</v>
      </c>
      <c r="D14" s="41">
        <v>0.05</v>
      </c>
      <c r="E14" s="41">
        <v>0.02</v>
      </c>
      <c r="F14" s="46">
        <v>1.4</v>
      </c>
      <c r="G14" s="41">
        <v>1</v>
      </c>
      <c r="H14" s="41">
        <v>0.01</v>
      </c>
      <c r="I14" s="41" t="s">
        <v>47</v>
      </c>
      <c r="J14" s="41">
        <v>0.5</v>
      </c>
      <c r="K14" s="41">
        <v>1</v>
      </c>
      <c r="L14" s="41">
        <v>0.1</v>
      </c>
      <c r="M14" s="41">
        <v>0.5</v>
      </c>
      <c r="N14" s="41">
        <v>54</v>
      </c>
      <c r="O14" s="41">
        <v>13689</v>
      </c>
      <c r="P14" s="41" t="s">
        <v>47</v>
      </c>
      <c r="Q14" s="41" t="s">
        <v>47</v>
      </c>
      <c r="R14" s="41" t="s">
        <v>47</v>
      </c>
      <c r="S14" s="41" t="s">
        <v>47</v>
      </c>
      <c r="T14" s="41" t="s">
        <v>47</v>
      </c>
      <c r="U14" s="1415" t="s">
        <v>1073</v>
      </c>
      <c r="V14" s="1415">
        <v>2908</v>
      </c>
      <c r="W14" s="41">
        <v>0</v>
      </c>
      <c r="X14" s="41">
        <f>ROUND((D14*E14*F14*G14*H14*J14*K14*L14*N14*1000000*M14/3600)*(1-W14),4)</f>
        <v>5.3E-3</v>
      </c>
      <c r="Y14" s="41">
        <f>ROUND((D14*E14*F14*G14*H14*J14*K14*L14*M14*O14)*(1-W14),4)</f>
        <v>4.7999999999999996E-3</v>
      </c>
      <c r="Z14" s="3" t="s">
        <v>1081</v>
      </c>
      <c r="AB14" s="4"/>
      <c r="AC14" s="2"/>
    </row>
    <row r="15" spans="1:30" ht="38.25" customHeight="1" x14ac:dyDescent="0.25">
      <c r="A15" s="1416"/>
      <c r="B15" s="45" t="s">
        <v>1068</v>
      </c>
      <c r="C15" s="1585"/>
      <c r="D15" s="41">
        <v>0.05</v>
      </c>
      <c r="E15" s="41">
        <v>0.02</v>
      </c>
      <c r="F15" s="46">
        <v>1.4</v>
      </c>
      <c r="G15" s="41">
        <v>1</v>
      </c>
      <c r="H15" s="41">
        <v>0.01</v>
      </c>
      <c r="I15" s="41" t="s">
        <v>47</v>
      </c>
      <c r="J15" s="41">
        <v>0.5</v>
      </c>
      <c r="K15" s="41" t="s">
        <v>47</v>
      </c>
      <c r="L15" s="41" t="s">
        <v>47</v>
      </c>
      <c r="M15" s="41">
        <v>0.5</v>
      </c>
      <c r="N15" s="41">
        <v>54</v>
      </c>
      <c r="O15" s="41">
        <v>13689</v>
      </c>
      <c r="P15" s="41" t="s">
        <v>47</v>
      </c>
      <c r="Q15" s="41" t="s">
        <v>47</v>
      </c>
      <c r="R15" s="41" t="s">
        <v>47</v>
      </c>
      <c r="S15" s="41" t="s">
        <v>47</v>
      </c>
      <c r="T15" s="41" t="s">
        <v>47</v>
      </c>
      <c r="U15" s="1416"/>
      <c r="V15" s="1416"/>
      <c r="W15" s="41">
        <v>0.85</v>
      </c>
      <c r="X15" s="41">
        <f>ROUND((D15*E15*F15*G15*H15*J15*N15*1000000*M15/3600)*(1-W15),4)</f>
        <v>7.9000000000000008E-3</v>
      </c>
      <c r="Y15" s="41">
        <f>ROUND((D15*E15*F15*G15*H15*J15*M15*O15)*(1-W15),4)</f>
        <v>7.1999999999999998E-3</v>
      </c>
      <c r="Z15" s="3" t="s">
        <v>1075</v>
      </c>
      <c r="AB15" s="4"/>
      <c r="AC15" s="2"/>
    </row>
    <row r="16" spans="1:30" x14ac:dyDescent="0.25">
      <c r="A16" s="1416"/>
      <c r="B16" s="45" t="s">
        <v>200</v>
      </c>
      <c r="C16" s="1585"/>
      <c r="D16" s="41" t="s">
        <v>47</v>
      </c>
      <c r="E16" s="41" t="s">
        <v>47</v>
      </c>
      <c r="F16" s="46">
        <v>1.4</v>
      </c>
      <c r="G16" s="41">
        <v>1</v>
      </c>
      <c r="H16" s="41">
        <v>0.01</v>
      </c>
      <c r="I16" s="41">
        <v>1.3</v>
      </c>
      <c r="J16" s="41">
        <v>0.5</v>
      </c>
      <c r="K16" s="41" t="s">
        <v>47</v>
      </c>
      <c r="L16" s="41" t="s">
        <v>47</v>
      </c>
      <c r="M16" s="41" t="s">
        <v>47</v>
      </c>
      <c r="N16" s="41" t="s">
        <v>47</v>
      </c>
      <c r="O16" s="41" t="s">
        <v>47</v>
      </c>
      <c r="P16" s="41">
        <v>4.0000000000000001E-3</v>
      </c>
      <c r="Q16" s="41">
        <v>500</v>
      </c>
      <c r="R16" s="41">
        <v>24</v>
      </c>
      <c r="S16" s="41">
        <v>0</v>
      </c>
      <c r="T16" s="41">
        <v>5</v>
      </c>
      <c r="U16" s="1416"/>
      <c r="V16" s="1416"/>
      <c r="W16" s="41">
        <v>0.85</v>
      </c>
      <c r="X16" s="41">
        <f>ROUND((F16*G16*H16*I16*J16*P16*Q16)*(1-W16),4)</f>
        <v>2.7000000000000001E-3</v>
      </c>
      <c r="Y16" s="41">
        <f>ROUND((((X16*R16*(21-T16-S16)*3600)/1000000)),4)</f>
        <v>3.7000000000000002E-3</v>
      </c>
      <c r="Z16" s="4"/>
      <c r="AA16" s="4"/>
      <c r="AB16" s="4"/>
      <c r="AC16" s="2"/>
      <c r="AD16">
        <v>5070</v>
      </c>
    </row>
    <row r="17" spans="1:30" ht="24" x14ac:dyDescent="0.25">
      <c r="A17" s="1191"/>
      <c r="B17" s="45" t="s">
        <v>1076</v>
      </c>
      <c r="C17" s="1191"/>
      <c r="D17" s="41">
        <v>0.05</v>
      </c>
      <c r="E17" s="41">
        <v>0.02</v>
      </c>
      <c r="F17" s="46">
        <v>1.4</v>
      </c>
      <c r="G17" s="41">
        <v>1</v>
      </c>
      <c r="H17" s="41">
        <v>0.01</v>
      </c>
      <c r="I17" s="41" t="s">
        <v>47</v>
      </c>
      <c r="J17" s="41">
        <v>0.5</v>
      </c>
      <c r="K17" s="41" t="s">
        <v>47</v>
      </c>
      <c r="L17" s="41" t="s">
        <v>47</v>
      </c>
      <c r="M17" s="41">
        <v>0.5</v>
      </c>
      <c r="N17" s="41">
        <v>54</v>
      </c>
      <c r="O17" s="41">
        <v>13689</v>
      </c>
      <c r="P17" s="41" t="s">
        <v>47</v>
      </c>
      <c r="Q17" s="41" t="s">
        <v>47</v>
      </c>
      <c r="R17" s="41" t="s">
        <v>47</v>
      </c>
      <c r="S17" s="41" t="s">
        <v>47</v>
      </c>
      <c r="T17" s="41" t="s">
        <v>47</v>
      </c>
      <c r="U17" s="1417"/>
      <c r="V17" s="1417"/>
      <c r="W17" s="41">
        <v>0</v>
      </c>
      <c r="X17" s="41">
        <f>ROUND((D17*E17*F17*G17*H17*J17*N17*1000000*M17/3600)*(1-W17),4)</f>
        <v>5.2499999999999998E-2</v>
      </c>
      <c r="Y17" s="41">
        <f>ROUND((D17*E17*F17*G17*H17*J17*M17*O17)*(1-W17),4)</f>
        <v>4.7899999999999998E-2</v>
      </c>
      <c r="Z17" s="4"/>
      <c r="AA17" s="4"/>
      <c r="AB17" s="4"/>
      <c r="AC17" s="2"/>
    </row>
    <row r="18" spans="1:30" ht="48" x14ac:dyDescent="0.25">
      <c r="A18" s="1562" t="s">
        <v>1189</v>
      </c>
      <c r="B18" s="1563"/>
      <c r="C18" s="1563"/>
      <c r="D18" s="1563"/>
      <c r="E18" s="1563"/>
      <c r="F18" s="1563"/>
      <c r="G18" s="1563"/>
      <c r="H18" s="1563"/>
      <c r="I18" s="1563"/>
      <c r="J18" s="1563"/>
      <c r="K18" s="1563"/>
      <c r="L18" s="1563"/>
      <c r="M18" s="1563"/>
      <c r="N18" s="1563"/>
      <c r="O18" s="1563"/>
      <c r="P18" s="1563"/>
      <c r="Q18" s="1563"/>
      <c r="R18" s="1563"/>
      <c r="S18" s="1563"/>
      <c r="T18" s="1563"/>
      <c r="U18" s="251" t="s">
        <v>1073</v>
      </c>
      <c r="V18" s="251">
        <v>2908</v>
      </c>
      <c r="W18" s="251"/>
      <c r="X18" s="251">
        <f>X14+X15+X16+X17</f>
        <v>6.8400000000000002E-2</v>
      </c>
      <c r="Y18" s="251">
        <f>SUM(Y14:Y17)</f>
        <v>6.359999999999999E-2</v>
      </c>
      <c r="Z18" s="872">
        <f>X18+X12</f>
        <v>0.1457</v>
      </c>
      <c r="AA18" s="871">
        <f>Y18+Y12</f>
        <v>8.7699999999999986E-2</v>
      </c>
      <c r="AB18" s="869">
        <v>2026</v>
      </c>
      <c r="AC18" s="2"/>
    </row>
    <row r="19" spans="1:30" x14ac:dyDescent="0.25">
      <c r="A19" s="1559" t="s">
        <v>11</v>
      </c>
      <c r="B19" s="1560"/>
      <c r="C19" s="1560"/>
      <c r="D19" s="1560"/>
      <c r="E19" s="1560"/>
      <c r="F19" s="1560"/>
      <c r="G19" s="1560"/>
      <c r="H19" s="1560"/>
      <c r="I19" s="1560"/>
      <c r="J19" s="1560"/>
      <c r="K19" s="1560"/>
      <c r="L19" s="1560"/>
      <c r="M19" s="1560"/>
      <c r="N19" s="1560"/>
      <c r="O19" s="1560"/>
      <c r="P19" s="1560"/>
      <c r="Q19" s="1560"/>
      <c r="R19" s="1560"/>
      <c r="S19" s="1560"/>
      <c r="T19" s="1560"/>
      <c r="U19" s="1560"/>
      <c r="V19" s="1560"/>
      <c r="W19" s="1560"/>
      <c r="X19" s="1560"/>
      <c r="Y19" s="1561"/>
    </row>
    <row r="20" spans="1:30" x14ac:dyDescent="0.25">
      <c r="A20" s="1586" t="s">
        <v>1077</v>
      </c>
      <c r="B20" s="1587"/>
      <c r="C20" s="1587"/>
      <c r="D20" s="1587"/>
      <c r="E20" s="1587"/>
      <c r="F20" s="1587"/>
      <c r="G20" s="1587"/>
      <c r="H20" s="1587"/>
      <c r="I20" s="1587"/>
      <c r="J20" s="1587"/>
      <c r="K20" s="1587"/>
      <c r="L20" s="1587"/>
      <c r="M20" s="1587"/>
      <c r="N20" s="1587"/>
      <c r="O20" s="1587"/>
      <c r="P20" s="1587"/>
      <c r="Q20" s="1587"/>
      <c r="R20" s="1587"/>
      <c r="S20" s="1587"/>
      <c r="T20" s="1587"/>
      <c r="U20" s="1587"/>
      <c r="V20" s="1587"/>
      <c r="W20" s="1587"/>
      <c r="X20" s="1587"/>
      <c r="Y20" s="1588"/>
    </row>
    <row r="21" spans="1:30" ht="24" x14ac:dyDescent="0.25">
      <c r="A21" s="1415">
        <v>7064</v>
      </c>
      <c r="B21" s="45" t="s">
        <v>198</v>
      </c>
      <c r="C21" s="1415" t="s">
        <v>359</v>
      </c>
      <c r="D21" s="41">
        <v>0.02</v>
      </c>
      <c r="E21" s="41">
        <v>0.01</v>
      </c>
      <c r="F21" s="46">
        <v>1.4</v>
      </c>
      <c r="G21" s="41">
        <v>1</v>
      </c>
      <c r="H21" s="41">
        <v>0.01</v>
      </c>
      <c r="I21" s="41" t="s">
        <v>47</v>
      </c>
      <c r="J21" s="41">
        <v>0.4</v>
      </c>
      <c r="K21" s="41">
        <v>1</v>
      </c>
      <c r="L21" s="41">
        <v>0.1</v>
      </c>
      <c r="M21" s="41">
        <v>0.5</v>
      </c>
      <c r="N21" s="41">
        <v>552</v>
      </c>
      <c r="O21" s="41">
        <v>38502</v>
      </c>
      <c r="P21" s="41" t="s">
        <v>47</v>
      </c>
      <c r="Q21" s="41" t="s">
        <v>47</v>
      </c>
      <c r="R21" s="41" t="s">
        <v>47</v>
      </c>
      <c r="S21" s="41" t="s">
        <v>47</v>
      </c>
      <c r="T21" s="41" t="s">
        <v>47</v>
      </c>
      <c r="U21" s="1415" t="s">
        <v>1073</v>
      </c>
      <c r="V21" s="1415">
        <v>2908</v>
      </c>
      <c r="W21" s="41">
        <v>0</v>
      </c>
      <c r="X21" s="41">
        <f>ROUND((D21*E21*F21*G21*H21*J21*K21*L21*N21*1000000*M21/3600)*(1-W21),4)</f>
        <v>8.6E-3</v>
      </c>
      <c r="Y21" s="41">
        <f>ROUND((D21*E21*F21*G21*H21*J21*K21*L21*M21*O21)*(1-W21),4)</f>
        <v>2.2000000000000001E-3</v>
      </c>
      <c r="Z21" s="3" t="s">
        <v>1075</v>
      </c>
      <c r="AD21">
        <v>13750.6</v>
      </c>
    </row>
    <row r="22" spans="1:30" ht="36" x14ac:dyDescent="0.25">
      <c r="A22" s="1416"/>
      <c r="B22" s="45" t="s">
        <v>1068</v>
      </c>
      <c r="C22" s="1585"/>
      <c r="D22" s="41">
        <v>0.02</v>
      </c>
      <c r="E22" s="41">
        <v>0.01</v>
      </c>
      <c r="F22" s="46">
        <v>1.4</v>
      </c>
      <c r="G22" s="41">
        <v>1</v>
      </c>
      <c r="H22" s="41">
        <v>0.01</v>
      </c>
      <c r="I22" s="41" t="s">
        <v>47</v>
      </c>
      <c r="J22" s="41">
        <v>0.4</v>
      </c>
      <c r="K22" s="41" t="s">
        <v>47</v>
      </c>
      <c r="L22" s="41" t="s">
        <v>47</v>
      </c>
      <c r="M22" s="41">
        <v>0.5</v>
      </c>
      <c r="N22" s="41">
        <v>552</v>
      </c>
      <c r="O22" s="41">
        <v>38502</v>
      </c>
      <c r="P22" s="41" t="s">
        <v>47</v>
      </c>
      <c r="Q22" s="41" t="s">
        <v>47</v>
      </c>
      <c r="R22" s="41" t="s">
        <v>47</v>
      </c>
      <c r="S22" s="41" t="s">
        <v>47</v>
      </c>
      <c r="T22" s="41" t="s">
        <v>47</v>
      </c>
      <c r="U22" s="1416"/>
      <c r="V22" s="1416"/>
      <c r="W22" s="41">
        <v>0.85</v>
      </c>
      <c r="X22" s="41">
        <f>ROUND((D22*E22*F22*G22*H22*J22*N22*1000000*M22/3600)*(1-W22),4)</f>
        <v>1.29E-2</v>
      </c>
      <c r="Y22" s="41">
        <f>ROUND((D22*E22*F22*G22*H22*J22*M22*O22)*(1-W22),4)</f>
        <v>3.2000000000000002E-3</v>
      </c>
    </row>
    <row r="23" spans="1:30" x14ac:dyDescent="0.25">
      <c r="A23" s="1416"/>
      <c r="B23" s="45" t="s">
        <v>200</v>
      </c>
      <c r="C23" s="1585"/>
      <c r="D23" s="41" t="s">
        <v>47</v>
      </c>
      <c r="E23" s="41" t="s">
        <v>47</v>
      </c>
      <c r="F23" s="46">
        <v>1.4</v>
      </c>
      <c r="G23" s="41">
        <v>1</v>
      </c>
      <c r="H23" s="41">
        <v>0.01</v>
      </c>
      <c r="I23" s="41">
        <v>1.3</v>
      </c>
      <c r="J23" s="41">
        <v>0.4</v>
      </c>
      <c r="K23" s="41" t="s">
        <v>47</v>
      </c>
      <c r="L23" s="41" t="s">
        <v>47</v>
      </c>
      <c r="M23" s="41" t="s">
        <v>47</v>
      </c>
      <c r="N23" s="41" t="s">
        <v>47</v>
      </c>
      <c r="O23" s="41" t="s">
        <v>47</v>
      </c>
      <c r="P23" s="41">
        <v>2E-3</v>
      </c>
      <c r="Q23" s="41">
        <v>500</v>
      </c>
      <c r="R23" s="41">
        <v>24</v>
      </c>
      <c r="S23" s="41">
        <v>0</v>
      </c>
      <c r="T23" s="41">
        <v>10</v>
      </c>
      <c r="U23" s="1416"/>
      <c r="V23" s="1416"/>
      <c r="W23" s="41">
        <v>0.85</v>
      </c>
      <c r="X23" s="41">
        <f>ROUND((F23*G23*H23*I23*J23*P23*Q23)*(1-W23),4)</f>
        <v>1.1000000000000001E-3</v>
      </c>
      <c r="Y23" s="41">
        <f>ROUND((((X23*R23*(31-T23-S23)*3600)/1000000)),4)</f>
        <v>2E-3</v>
      </c>
    </row>
    <row r="24" spans="1:30" ht="24" x14ac:dyDescent="0.25">
      <c r="A24" s="1191"/>
      <c r="B24" s="45" t="s">
        <v>1076</v>
      </c>
      <c r="C24" s="1191"/>
      <c r="D24" s="41">
        <v>0.02</v>
      </c>
      <c r="E24" s="41">
        <v>0.01</v>
      </c>
      <c r="F24" s="46">
        <v>1.4</v>
      </c>
      <c r="G24" s="41">
        <v>1</v>
      </c>
      <c r="H24" s="41">
        <v>0.01</v>
      </c>
      <c r="I24" s="41" t="s">
        <v>47</v>
      </c>
      <c r="J24" s="41">
        <v>0.4</v>
      </c>
      <c r="K24" s="41" t="s">
        <v>47</v>
      </c>
      <c r="L24" s="41" t="s">
        <v>47</v>
      </c>
      <c r="M24" s="41">
        <v>0.5</v>
      </c>
      <c r="N24" s="41">
        <v>552</v>
      </c>
      <c r="O24" s="41">
        <v>38502</v>
      </c>
      <c r="P24" s="41" t="s">
        <v>47</v>
      </c>
      <c r="Q24" s="41" t="s">
        <v>47</v>
      </c>
      <c r="R24" s="41" t="s">
        <v>47</v>
      </c>
      <c r="S24" s="41" t="s">
        <v>47</v>
      </c>
      <c r="T24" s="41" t="s">
        <v>47</v>
      </c>
      <c r="U24" s="1417"/>
      <c r="V24" s="1417"/>
      <c r="W24" s="41">
        <v>0</v>
      </c>
      <c r="X24" s="41">
        <f>ROUND((D24*E24*F24*G24*H24*J24*N24*1000000*M24/3600)*(1-W24),4)</f>
        <v>8.5900000000000004E-2</v>
      </c>
      <c r="Y24" s="41">
        <f>ROUND((D24*E24*F24*G24*H24*J24*M24*O24)*(1-W24),4)</f>
        <v>2.1600000000000001E-2</v>
      </c>
    </row>
    <row r="25" spans="1:30" ht="48" x14ac:dyDescent="0.25">
      <c r="A25" s="1562" t="s">
        <v>1187</v>
      </c>
      <c r="B25" s="1563"/>
      <c r="C25" s="1563"/>
      <c r="D25" s="1563"/>
      <c r="E25" s="1563"/>
      <c r="F25" s="1563"/>
      <c r="G25" s="1563"/>
      <c r="H25" s="1563"/>
      <c r="I25" s="1563"/>
      <c r="J25" s="1563"/>
      <c r="K25" s="1563"/>
      <c r="L25" s="1563"/>
      <c r="M25" s="1563"/>
      <c r="N25" s="1563"/>
      <c r="O25" s="1563"/>
      <c r="P25" s="1563"/>
      <c r="Q25" s="1563"/>
      <c r="R25" s="1563"/>
      <c r="S25" s="1563"/>
      <c r="T25" s="1563"/>
      <c r="U25" s="251" t="s">
        <v>1073</v>
      </c>
      <c r="V25" s="251">
        <v>2908</v>
      </c>
      <c r="W25" s="251"/>
      <c r="X25" s="251">
        <f>X21+X22+X23+X24</f>
        <v>0.1085</v>
      </c>
      <c r="Y25" s="251">
        <f>SUM(Y21:Y24)</f>
        <v>2.9000000000000001E-2</v>
      </c>
    </row>
    <row r="26" spans="1:30" ht="21" customHeight="1" x14ac:dyDescent="0.25">
      <c r="A26" s="1586" t="s">
        <v>1084</v>
      </c>
      <c r="B26" s="1587"/>
      <c r="C26" s="1587"/>
      <c r="D26" s="1587"/>
      <c r="E26" s="1587"/>
      <c r="F26" s="1587"/>
      <c r="G26" s="1587"/>
      <c r="H26" s="1587"/>
      <c r="I26" s="1587"/>
      <c r="J26" s="1587"/>
      <c r="K26" s="1587"/>
      <c r="L26" s="1587"/>
      <c r="M26" s="1587"/>
      <c r="N26" s="1587"/>
      <c r="O26" s="1587"/>
      <c r="P26" s="1587"/>
      <c r="Q26" s="1587"/>
      <c r="R26" s="1587"/>
      <c r="S26" s="1587"/>
      <c r="T26" s="1587"/>
      <c r="U26" s="1587"/>
      <c r="V26" s="1587"/>
      <c r="W26" s="1587"/>
      <c r="X26" s="1587"/>
      <c r="Y26" s="1588"/>
      <c r="Z26" s="4"/>
      <c r="AA26" s="4"/>
      <c r="AB26" s="4"/>
      <c r="AC26" s="2"/>
    </row>
    <row r="27" spans="1:30" ht="24" x14ac:dyDescent="0.25">
      <c r="A27" s="1415">
        <v>7112</v>
      </c>
      <c r="B27" s="45" t="s">
        <v>198</v>
      </c>
      <c r="C27" s="1415" t="s">
        <v>1083</v>
      </c>
      <c r="D27" s="41">
        <v>0.05</v>
      </c>
      <c r="E27" s="41">
        <v>0.02</v>
      </c>
      <c r="F27" s="46">
        <v>1.4</v>
      </c>
      <c r="G27" s="41">
        <v>1</v>
      </c>
      <c r="H27" s="41">
        <v>0.01</v>
      </c>
      <c r="I27" s="41" t="s">
        <v>47</v>
      </c>
      <c r="J27" s="41">
        <v>0.5</v>
      </c>
      <c r="K27" s="41">
        <v>1</v>
      </c>
      <c r="L27" s="41">
        <v>0.1</v>
      </c>
      <c r="M27" s="41">
        <v>0.5</v>
      </c>
      <c r="N27" s="41">
        <v>54</v>
      </c>
      <c r="O27" s="41">
        <v>9126</v>
      </c>
      <c r="P27" s="41" t="s">
        <v>47</v>
      </c>
      <c r="Q27" s="41" t="s">
        <v>47</v>
      </c>
      <c r="R27" s="41" t="s">
        <v>47</v>
      </c>
      <c r="S27" s="41" t="s">
        <v>47</v>
      </c>
      <c r="T27" s="41" t="s">
        <v>47</v>
      </c>
      <c r="U27" s="1415" t="s">
        <v>1073</v>
      </c>
      <c r="V27" s="1415">
        <v>2908</v>
      </c>
      <c r="W27" s="41">
        <v>0</v>
      </c>
      <c r="X27" s="41">
        <f>ROUND((D27*E27*F27*G27*H27*J27*K27*L27*N27*1000000*M27/3600)*(1-W27),4)</f>
        <v>5.3E-3</v>
      </c>
      <c r="Y27" s="41">
        <f>ROUND((D27*E27*F27*G27*H27*J27*K27*L27*M27*O27)*(1-W27),4)</f>
        <v>3.2000000000000002E-3</v>
      </c>
      <c r="Z27" s="3" t="s">
        <v>1081</v>
      </c>
      <c r="AB27" s="4"/>
      <c r="AC27" s="2"/>
    </row>
    <row r="28" spans="1:30" ht="36" x14ac:dyDescent="0.25">
      <c r="A28" s="1416"/>
      <c r="B28" s="45" t="s">
        <v>1068</v>
      </c>
      <c r="C28" s="1585"/>
      <c r="D28" s="41">
        <v>0.05</v>
      </c>
      <c r="E28" s="41">
        <v>0.02</v>
      </c>
      <c r="F28" s="46">
        <v>1.4</v>
      </c>
      <c r="G28" s="41">
        <v>1</v>
      </c>
      <c r="H28" s="41">
        <v>0.01</v>
      </c>
      <c r="I28" s="41" t="s">
        <v>47</v>
      </c>
      <c r="J28" s="41">
        <v>0.5</v>
      </c>
      <c r="K28" s="41" t="s">
        <v>47</v>
      </c>
      <c r="L28" s="41" t="s">
        <v>47</v>
      </c>
      <c r="M28" s="41">
        <v>0.5</v>
      </c>
      <c r="N28" s="41">
        <v>54</v>
      </c>
      <c r="O28" s="41">
        <v>9126</v>
      </c>
      <c r="P28" s="41" t="s">
        <v>47</v>
      </c>
      <c r="Q28" s="41" t="s">
        <v>47</v>
      </c>
      <c r="R28" s="41" t="s">
        <v>47</v>
      </c>
      <c r="S28" s="41" t="s">
        <v>47</v>
      </c>
      <c r="T28" s="41" t="s">
        <v>47</v>
      </c>
      <c r="U28" s="1416"/>
      <c r="V28" s="1416"/>
      <c r="W28" s="41">
        <v>0.85</v>
      </c>
      <c r="X28" s="41">
        <f>ROUND((D28*E28*F28*G28*H28*J28*N28*1000000*M28/3600)*(1-W28),4)</f>
        <v>7.9000000000000008E-3</v>
      </c>
      <c r="Y28" s="41">
        <f>ROUND((D28*E28*F28*G28*H28*J28*M28*O28)*(1-W28),4)</f>
        <v>4.7999999999999996E-3</v>
      </c>
      <c r="Z28" s="3" t="s">
        <v>1075</v>
      </c>
      <c r="AB28" s="4"/>
      <c r="AC28" s="2"/>
    </row>
    <row r="29" spans="1:30" x14ac:dyDescent="0.25">
      <c r="A29" s="1416"/>
      <c r="B29" s="45" t="s">
        <v>200</v>
      </c>
      <c r="C29" s="1585"/>
      <c r="D29" s="41" t="s">
        <v>47</v>
      </c>
      <c r="E29" s="41" t="s">
        <v>47</v>
      </c>
      <c r="F29" s="46">
        <v>1.4</v>
      </c>
      <c r="G29" s="41">
        <v>1</v>
      </c>
      <c r="H29" s="41">
        <v>0.01</v>
      </c>
      <c r="I29" s="41">
        <v>1.3</v>
      </c>
      <c r="J29" s="41">
        <v>0.5</v>
      </c>
      <c r="K29" s="41" t="s">
        <v>47</v>
      </c>
      <c r="L29" s="41" t="s">
        <v>47</v>
      </c>
      <c r="M29" s="41" t="s">
        <v>47</v>
      </c>
      <c r="N29" s="41" t="s">
        <v>47</v>
      </c>
      <c r="O29" s="41" t="s">
        <v>47</v>
      </c>
      <c r="P29" s="41">
        <v>4.0000000000000001E-3</v>
      </c>
      <c r="Q29" s="41">
        <v>500</v>
      </c>
      <c r="R29" s="41">
        <v>24</v>
      </c>
      <c r="S29" s="41">
        <v>0</v>
      </c>
      <c r="T29" s="41">
        <v>5</v>
      </c>
      <c r="U29" s="1416"/>
      <c r="V29" s="1416"/>
      <c r="W29" s="41">
        <v>0.85</v>
      </c>
      <c r="X29" s="41">
        <f>ROUND((F29*G29*H29*I29*J29*P29*Q29)*(1-W29),4)</f>
        <v>2.7000000000000001E-3</v>
      </c>
      <c r="Y29" s="41">
        <f>ROUND((((X29*R29*(21-T29-S29)*3600)/1000000)),4)</f>
        <v>3.7000000000000002E-3</v>
      </c>
      <c r="Z29" s="4"/>
      <c r="AA29" s="4"/>
      <c r="AB29" s="4"/>
      <c r="AC29" s="2"/>
      <c r="AD29">
        <v>3380</v>
      </c>
    </row>
    <row r="30" spans="1:30" ht="24" x14ac:dyDescent="0.25">
      <c r="A30" s="1191"/>
      <c r="B30" s="45" t="s">
        <v>1076</v>
      </c>
      <c r="C30" s="1191"/>
      <c r="D30" s="41">
        <v>0.05</v>
      </c>
      <c r="E30" s="41">
        <v>0.02</v>
      </c>
      <c r="F30" s="46">
        <v>1.4</v>
      </c>
      <c r="G30" s="41">
        <v>1</v>
      </c>
      <c r="H30" s="41">
        <v>0.01</v>
      </c>
      <c r="I30" s="41" t="s">
        <v>47</v>
      </c>
      <c r="J30" s="41">
        <v>0.5</v>
      </c>
      <c r="K30" s="41" t="s">
        <v>47</v>
      </c>
      <c r="L30" s="41" t="s">
        <v>47</v>
      </c>
      <c r="M30" s="41">
        <v>0.5</v>
      </c>
      <c r="N30" s="41">
        <v>54</v>
      </c>
      <c r="O30" s="41">
        <v>9126</v>
      </c>
      <c r="P30" s="41" t="s">
        <v>47</v>
      </c>
      <c r="Q30" s="41" t="s">
        <v>47</v>
      </c>
      <c r="R30" s="41" t="s">
        <v>47</v>
      </c>
      <c r="S30" s="41" t="s">
        <v>47</v>
      </c>
      <c r="T30" s="41" t="s">
        <v>47</v>
      </c>
      <c r="U30" s="1417"/>
      <c r="V30" s="1417"/>
      <c r="W30" s="41">
        <v>0</v>
      </c>
      <c r="X30" s="41">
        <f>ROUND((D30*E30*F30*G30*H30*J30*N30*1000000*M30/3600)*(1-W30),4)</f>
        <v>5.2499999999999998E-2</v>
      </c>
      <c r="Y30" s="41">
        <f>ROUND((D30*E30*F30*G30*H30*J30*M30*O30)*(1-W30),4)</f>
        <v>3.1899999999999998E-2</v>
      </c>
      <c r="Z30" s="4"/>
      <c r="AA30" s="4"/>
      <c r="AB30" s="4"/>
      <c r="AC30" s="2"/>
    </row>
    <row r="31" spans="1:30" ht="48" x14ac:dyDescent="0.25">
      <c r="A31" s="1562" t="s">
        <v>1189</v>
      </c>
      <c r="B31" s="1563"/>
      <c r="C31" s="1563"/>
      <c r="D31" s="1563"/>
      <c r="E31" s="1563"/>
      <c r="F31" s="1563"/>
      <c r="G31" s="1563"/>
      <c r="H31" s="1563"/>
      <c r="I31" s="1563"/>
      <c r="J31" s="1563"/>
      <c r="K31" s="1563"/>
      <c r="L31" s="1563"/>
      <c r="M31" s="1563"/>
      <c r="N31" s="1563"/>
      <c r="O31" s="1563"/>
      <c r="P31" s="1563"/>
      <c r="Q31" s="1563"/>
      <c r="R31" s="1563"/>
      <c r="S31" s="1563"/>
      <c r="T31" s="1563"/>
      <c r="U31" s="251" t="s">
        <v>1073</v>
      </c>
      <c r="V31" s="251">
        <v>2908</v>
      </c>
      <c r="W31" s="251"/>
      <c r="X31" s="251">
        <f>X27+X28+X29+X30</f>
        <v>6.8400000000000002E-2</v>
      </c>
      <c r="Y31" s="251">
        <f>SUM(Y27:Y30)</f>
        <v>4.36E-2</v>
      </c>
      <c r="Z31" s="872">
        <f>X31+X25</f>
        <v>0.1769</v>
      </c>
      <c r="AA31" s="871">
        <f>Y31+Y25</f>
        <v>7.2599999999999998E-2</v>
      </c>
      <c r="AB31" s="869">
        <v>2027</v>
      </c>
      <c r="AC31" s="2"/>
    </row>
    <row r="32" spans="1:30" ht="19.5" customHeight="1" x14ac:dyDescent="0.25">
      <c r="A32" s="1559" t="s">
        <v>60</v>
      </c>
      <c r="B32" s="1560"/>
      <c r="C32" s="1560"/>
      <c r="D32" s="1560"/>
      <c r="E32" s="1560"/>
      <c r="F32" s="1560"/>
      <c r="G32" s="1560"/>
      <c r="H32" s="1560"/>
      <c r="I32" s="1560"/>
      <c r="J32" s="1560"/>
      <c r="K32" s="1560"/>
      <c r="L32" s="1560"/>
      <c r="M32" s="1560"/>
      <c r="N32" s="1560"/>
      <c r="O32" s="1560"/>
      <c r="P32" s="1560"/>
      <c r="Q32" s="1560"/>
      <c r="R32" s="1560"/>
      <c r="S32" s="1560"/>
      <c r="T32" s="1560"/>
      <c r="U32" s="1560"/>
      <c r="V32" s="1560"/>
      <c r="W32" s="1560"/>
      <c r="X32" s="1560"/>
      <c r="Y32" s="1561"/>
    </row>
    <row r="33" spans="1:28" x14ac:dyDescent="0.25">
      <c r="A33" s="1586" t="s">
        <v>1078</v>
      </c>
      <c r="B33" s="1587"/>
      <c r="C33" s="1587"/>
      <c r="D33" s="1587"/>
      <c r="E33" s="1587"/>
      <c r="F33" s="1587"/>
      <c r="G33" s="1587"/>
      <c r="H33" s="1587"/>
      <c r="I33" s="1587"/>
      <c r="J33" s="1587"/>
      <c r="K33" s="1587"/>
      <c r="L33" s="1587"/>
      <c r="M33" s="1587"/>
      <c r="N33" s="1587"/>
      <c r="O33" s="1587"/>
      <c r="P33" s="1587"/>
      <c r="Q33" s="1587"/>
      <c r="R33" s="1587"/>
      <c r="S33" s="1587"/>
      <c r="T33" s="1587"/>
      <c r="U33" s="1587"/>
      <c r="V33" s="1587"/>
      <c r="W33" s="1587"/>
      <c r="X33" s="1587"/>
      <c r="Y33" s="1588"/>
    </row>
    <row r="34" spans="1:28" ht="24" x14ac:dyDescent="0.25">
      <c r="A34" s="1432">
        <v>7082</v>
      </c>
      <c r="B34" s="333" t="s">
        <v>198</v>
      </c>
      <c r="C34" s="1432" t="s">
        <v>359</v>
      </c>
      <c r="D34" s="331">
        <v>0.02</v>
      </c>
      <c r="E34" s="331">
        <v>0.01</v>
      </c>
      <c r="F34" s="334">
        <v>1.4</v>
      </c>
      <c r="G34" s="331">
        <v>1</v>
      </c>
      <c r="H34" s="331">
        <v>0.01</v>
      </c>
      <c r="I34" s="331" t="s">
        <v>47</v>
      </c>
      <c r="J34" s="331">
        <v>0.4</v>
      </c>
      <c r="K34" s="331">
        <v>1</v>
      </c>
      <c r="L34" s="331">
        <v>0.1</v>
      </c>
      <c r="M34" s="331">
        <v>0.5</v>
      </c>
      <c r="N34" s="331">
        <v>868</v>
      </c>
      <c r="O34" s="331">
        <v>442211</v>
      </c>
      <c r="P34" s="331" t="s">
        <v>47</v>
      </c>
      <c r="Q34" s="331" t="s">
        <v>47</v>
      </c>
      <c r="R34" s="331" t="s">
        <v>47</v>
      </c>
      <c r="S34" s="331" t="s">
        <v>47</v>
      </c>
      <c r="T34" s="331" t="s">
        <v>47</v>
      </c>
      <c r="U34" s="1432" t="s">
        <v>1073</v>
      </c>
      <c r="V34" s="1432">
        <v>2908</v>
      </c>
      <c r="W34" s="331">
        <v>0</v>
      </c>
      <c r="X34" s="331">
        <f>ROUND((D34*E34*F34*G34*H34*J34*K34*L34*N34*1000000*M34/3600)*(1-W34),4)</f>
        <v>1.35E-2</v>
      </c>
      <c r="Y34" s="331">
        <f>ROUND((D34*E34*F34*G34*H34*J34*K34*L34*M34*O34)*(1-W34),4)</f>
        <v>2.4799999999999999E-2</v>
      </c>
    </row>
    <row r="35" spans="1:28" ht="36" x14ac:dyDescent="0.25">
      <c r="A35" s="1433"/>
      <c r="B35" s="333" t="s">
        <v>1068</v>
      </c>
      <c r="C35" s="1593"/>
      <c r="D35" s="331">
        <v>0.02</v>
      </c>
      <c r="E35" s="331">
        <v>0.01</v>
      </c>
      <c r="F35" s="334">
        <v>1.4</v>
      </c>
      <c r="G35" s="331">
        <v>1</v>
      </c>
      <c r="H35" s="331">
        <v>0.01</v>
      </c>
      <c r="I35" s="331" t="s">
        <v>47</v>
      </c>
      <c r="J35" s="331">
        <v>0.4</v>
      </c>
      <c r="K35" s="331" t="s">
        <v>47</v>
      </c>
      <c r="L35" s="331" t="s">
        <v>47</v>
      </c>
      <c r="M35" s="331">
        <v>0.5</v>
      </c>
      <c r="N35" s="331">
        <v>868</v>
      </c>
      <c r="O35" s="331">
        <v>442211</v>
      </c>
      <c r="P35" s="331" t="s">
        <v>47</v>
      </c>
      <c r="Q35" s="331" t="s">
        <v>47</v>
      </c>
      <c r="R35" s="331" t="s">
        <v>47</v>
      </c>
      <c r="S35" s="331" t="s">
        <v>47</v>
      </c>
      <c r="T35" s="331" t="s">
        <v>47</v>
      </c>
      <c r="U35" s="1433"/>
      <c r="V35" s="1433"/>
      <c r="W35" s="331">
        <v>0.85</v>
      </c>
      <c r="X35" s="331">
        <f>ROUND((D35*E35*F35*G35*H35*J35*N35*1000000*M35/3600)*(1-W35),4)</f>
        <v>2.0299999999999999E-2</v>
      </c>
      <c r="Y35" s="331">
        <f>ROUND((D35*E35*F35*G35*H35*J35*M35*O35)*(1-W35),4)</f>
        <v>3.7100000000000001E-2</v>
      </c>
      <c r="Z35" s="3" t="s">
        <v>1075</v>
      </c>
    </row>
    <row r="36" spans="1:28" x14ac:dyDescent="0.25">
      <c r="A36" s="1433"/>
      <c r="B36" s="333" t="s">
        <v>200</v>
      </c>
      <c r="C36" s="1593"/>
      <c r="D36" s="331" t="s">
        <v>47</v>
      </c>
      <c r="E36" s="331" t="s">
        <v>47</v>
      </c>
      <c r="F36" s="334">
        <v>1.4</v>
      </c>
      <c r="G36" s="331">
        <v>1</v>
      </c>
      <c r="H36" s="331">
        <v>0.01</v>
      </c>
      <c r="I36" s="331">
        <v>1.3</v>
      </c>
      <c r="J36" s="331">
        <v>0.4</v>
      </c>
      <c r="K36" s="331" t="s">
        <v>47</v>
      </c>
      <c r="L36" s="331" t="s">
        <v>47</v>
      </c>
      <c r="M36" s="331" t="s">
        <v>47</v>
      </c>
      <c r="N36" s="331" t="s">
        <v>47</v>
      </c>
      <c r="O36" s="331" t="s">
        <v>47</v>
      </c>
      <c r="P36" s="331">
        <v>2E-3</v>
      </c>
      <c r="Q36" s="331">
        <v>3000</v>
      </c>
      <c r="R36" s="331">
        <v>24</v>
      </c>
      <c r="S36" s="331">
        <v>0</v>
      </c>
      <c r="T36" s="331">
        <v>10</v>
      </c>
      <c r="U36" s="1433"/>
      <c r="V36" s="1433"/>
      <c r="W36" s="331">
        <v>0.85</v>
      </c>
      <c r="X36" s="331">
        <f>ROUND((F36*G36*H36*I36*J36*P36*Q36)*(1-W36),4)</f>
        <v>6.6E-3</v>
      </c>
      <c r="Y36" s="331">
        <f>ROUND((((X36*R36*(31-T36-S36)*3600)/1000000)),4)</f>
        <v>1.2E-2</v>
      </c>
    </row>
    <row r="37" spans="1:28" ht="24" x14ac:dyDescent="0.25">
      <c r="A37" s="1184"/>
      <c r="B37" s="333" t="s">
        <v>1076</v>
      </c>
      <c r="C37" s="1184"/>
      <c r="D37" s="331">
        <v>0.02</v>
      </c>
      <c r="E37" s="331">
        <v>0.01</v>
      </c>
      <c r="F37" s="334">
        <v>1.4</v>
      </c>
      <c r="G37" s="331">
        <v>1</v>
      </c>
      <c r="H37" s="331">
        <v>0.01</v>
      </c>
      <c r="I37" s="331" t="s">
        <v>47</v>
      </c>
      <c r="J37" s="331">
        <v>0.4</v>
      </c>
      <c r="K37" s="331" t="s">
        <v>47</v>
      </c>
      <c r="L37" s="331" t="s">
        <v>47</v>
      </c>
      <c r="M37" s="331">
        <v>0.5</v>
      </c>
      <c r="N37" s="331">
        <v>868</v>
      </c>
      <c r="O37" s="331">
        <v>442211</v>
      </c>
      <c r="P37" s="331" t="s">
        <v>47</v>
      </c>
      <c r="Q37" s="331" t="s">
        <v>47</v>
      </c>
      <c r="R37" s="331" t="s">
        <v>47</v>
      </c>
      <c r="S37" s="331" t="s">
        <v>47</v>
      </c>
      <c r="T37" s="331" t="s">
        <v>47</v>
      </c>
      <c r="U37" s="1434"/>
      <c r="V37" s="1434"/>
      <c r="W37" s="331">
        <v>0</v>
      </c>
      <c r="X37" s="331">
        <f>ROUND((D37*E37*F37*G37*H37*J37*N37*1000000*M37/3600)*(1-W37),4)</f>
        <v>0.13500000000000001</v>
      </c>
      <c r="Y37" s="331">
        <f>ROUND((D37*E37*F37*G37*H37*J37*M37*O37)*(1-W37),4)</f>
        <v>0.24759999999999999</v>
      </c>
    </row>
    <row r="38" spans="1:28" ht="56.25" customHeight="1" x14ac:dyDescent="0.25">
      <c r="A38" s="1596" t="s">
        <v>1260</v>
      </c>
      <c r="B38" s="1597"/>
      <c r="C38" s="1597"/>
      <c r="D38" s="1597"/>
      <c r="E38" s="1597"/>
      <c r="F38" s="1597"/>
      <c r="G38" s="1597"/>
      <c r="H38" s="1597"/>
      <c r="I38" s="1597"/>
      <c r="J38" s="1597"/>
      <c r="K38" s="1597"/>
      <c r="L38" s="1597"/>
      <c r="M38" s="1597"/>
      <c r="N38" s="1597"/>
      <c r="O38" s="1597"/>
      <c r="P38" s="1597"/>
      <c r="Q38" s="1597"/>
      <c r="R38" s="1597"/>
      <c r="S38" s="1597"/>
      <c r="T38" s="1597"/>
      <c r="U38" s="332" t="s">
        <v>1073</v>
      </c>
      <c r="V38" s="332">
        <v>2908</v>
      </c>
      <c r="W38" s="332"/>
      <c r="X38" s="332">
        <f>X34+X35+X36+X37</f>
        <v>0.1754</v>
      </c>
      <c r="Y38" s="332">
        <f>SUM(Y34:Y37)</f>
        <v>0.32150000000000001</v>
      </c>
      <c r="Z38" s="872">
        <f>X38</f>
        <v>0.1754</v>
      </c>
      <c r="AA38" s="871">
        <f>Y38</f>
        <v>0.32150000000000001</v>
      </c>
      <c r="AB38" s="869">
        <v>2028</v>
      </c>
    </row>
    <row r="39" spans="1:28" x14ac:dyDescent="0.25">
      <c r="A39" s="1559" t="s">
        <v>63</v>
      </c>
      <c r="B39" s="1560"/>
      <c r="C39" s="1560"/>
      <c r="D39" s="1560"/>
      <c r="E39" s="1560"/>
      <c r="F39" s="1560"/>
      <c r="G39" s="1560"/>
      <c r="H39" s="1560"/>
      <c r="I39" s="1560"/>
      <c r="J39" s="1560"/>
      <c r="K39" s="1560"/>
      <c r="L39" s="1560"/>
      <c r="M39" s="1560"/>
      <c r="N39" s="1560"/>
      <c r="O39" s="1560"/>
      <c r="P39" s="1560"/>
      <c r="Q39" s="1560"/>
      <c r="R39" s="1560"/>
      <c r="S39" s="1560"/>
      <c r="T39" s="1560"/>
      <c r="U39" s="1560"/>
      <c r="V39" s="1560"/>
      <c r="W39" s="1560"/>
      <c r="X39" s="1560"/>
      <c r="Y39" s="1561"/>
    </row>
    <row r="40" spans="1:28" x14ac:dyDescent="0.25">
      <c r="A40" s="1586" t="s">
        <v>1079</v>
      </c>
      <c r="B40" s="1587"/>
      <c r="C40" s="1587"/>
      <c r="D40" s="1587"/>
      <c r="E40" s="1587"/>
      <c r="F40" s="1587"/>
      <c r="G40" s="1587"/>
      <c r="H40" s="1587"/>
      <c r="I40" s="1587"/>
      <c r="J40" s="1587"/>
      <c r="K40" s="1587"/>
      <c r="L40" s="1587"/>
      <c r="M40" s="1587"/>
      <c r="N40" s="1587"/>
      <c r="O40" s="1587"/>
      <c r="P40" s="1587"/>
      <c r="Q40" s="1587"/>
      <c r="R40" s="1587"/>
      <c r="S40" s="1587"/>
      <c r="T40" s="1587"/>
      <c r="U40" s="1587"/>
      <c r="V40" s="1587"/>
      <c r="W40" s="1587"/>
      <c r="X40" s="1587"/>
      <c r="Y40" s="1588"/>
    </row>
    <row r="41" spans="1:28" ht="24" x14ac:dyDescent="0.25">
      <c r="A41" s="1415">
        <v>7100</v>
      </c>
      <c r="B41" s="45" t="s">
        <v>198</v>
      </c>
      <c r="C41" s="1415" t="s">
        <v>359</v>
      </c>
      <c r="D41" s="41">
        <v>0.02</v>
      </c>
      <c r="E41" s="41">
        <v>0.01</v>
      </c>
      <c r="F41" s="46">
        <v>1.4</v>
      </c>
      <c r="G41" s="41">
        <v>1</v>
      </c>
      <c r="H41" s="41">
        <v>0.01</v>
      </c>
      <c r="I41" s="41" t="s">
        <v>47</v>
      </c>
      <c r="J41" s="41">
        <v>0.4</v>
      </c>
      <c r="K41" s="41">
        <v>1</v>
      </c>
      <c r="L41" s="41">
        <v>0.1</v>
      </c>
      <c r="M41" s="41">
        <v>0.5</v>
      </c>
      <c r="N41" s="41">
        <v>126</v>
      </c>
      <c r="O41" s="41">
        <v>36091</v>
      </c>
      <c r="P41" s="41" t="s">
        <v>47</v>
      </c>
      <c r="Q41" s="41" t="s">
        <v>47</v>
      </c>
      <c r="R41" s="41" t="s">
        <v>47</v>
      </c>
      <c r="S41" s="41" t="s">
        <v>47</v>
      </c>
      <c r="T41" s="41" t="s">
        <v>47</v>
      </c>
      <c r="U41" s="1415" t="s">
        <v>1073</v>
      </c>
      <c r="V41" s="1415">
        <v>2908</v>
      </c>
      <c r="W41" s="41">
        <v>0</v>
      </c>
      <c r="X41" s="41">
        <f>ROUND((D41*E41*F41*G41*H41*J41*K41*L41*N41*1000000*M41/3600)*(1-W41),4)</f>
        <v>2E-3</v>
      </c>
      <c r="Y41" s="41">
        <f>ROUND((D41*E41*F41*G41*H41*J41*K41*L41*M41*O41)*(1-W41),4)</f>
        <v>2E-3</v>
      </c>
      <c r="Z41" s="3" t="s">
        <v>1075</v>
      </c>
    </row>
    <row r="42" spans="1:28" ht="36" x14ac:dyDescent="0.25">
      <c r="A42" s="1416"/>
      <c r="B42" s="45" t="s">
        <v>1068</v>
      </c>
      <c r="C42" s="1585"/>
      <c r="D42" s="41">
        <v>0.02</v>
      </c>
      <c r="E42" s="41">
        <v>0.01</v>
      </c>
      <c r="F42" s="46">
        <v>1.4</v>
      </c>
      <c r="G42" s="41">
        <v>1</v>
      </c>
      <c r="H42" s="41">
        <v>0.01</v>
      </c>
      <c r="I42" s="41" t="s">
        <v>47</v>
      </c>
      <c r="J42" s="41">
        <v>0.4</v>
      </c>
      <c r="K42" s="41" t="s">
        <v>47</v>
      </c>
      <c r="L42" s="41" t="s">
        <v>47</v>
      </c>
      <c r="M42" s="41">
        <v>0.5</v>
      </c>
      <c r="N42" s="41">
        <v>126</v>
      </c>
      <c r="O42" s="41">
        <v>36091</v>
      </c>
      <c r="P42" s="41" t="s">
        <v>47</v>
      </c>
      <c r="Q42" s="41" t="s">
        <v>47</v>
      </c>
      <c r="R42" s="41" t="s">
        <v>47</v>
      </c>
      <c r="S42" s="41" t="s">
        <v>47</v>
      </c>
      <c r="T42" s="41" t="s">
        <v>47</v>
      </c>
      <c r="U42" s="1416"/>
      <c r="V42" s="1416"/>
      <c r="W42" s="41">
        <v>0.85</v>
      </c>
      <c r="X42" s="41">
        <f>ROUND((D42*E42*F42*G42*H42*J42*N42*1000000*M42/3600)*(1-W42),4)</f>
        <v>2.8999999999999998E-3</v>
      </c>
      <c r="Y42" s="41">
        <f>ROUND((D42*E42*F42*G42*H42*J42*M42*O42)*(1-W42),4)</f>
        <v>3.0000000000000001E-3</v>
      </c>
    </row>
    <row r="43" spans="1:28" x14ac:dyDescent="0.25">
      <c r="A43" s="1416"/>
      <c r="B43" s="45" t="s">
        <v>200</v>
      </c>
      <c r="C43" s="1585"/>
      <c r="D43" s="41" t="s">
        <v>47</v>
      </c>
      <c r="E43" s="41" t="s">
        <v>47</v>
      </c>
      <c r="F43" s="46">
        <v>1.4</v>
      </c>
      <c r="G43" s="41">
        <v>1</v>
      </c>
      <c r="H43" s="41">
        <v>0.01</v>
      </c>
      <c r="I43" s="41">
        <v>1.3</v>
      </c>
      <c r="J43" s="41">
        <v>0.4</v>
      </c>
      <c r="K43" s="41" t="s">
        <v>47</v>
      </c>
      <c r="L43" s="41" t="s">
        <v>47</v>
      </c>
      <c r="M43" s="41" t="s">
        <v>47</v>
      </c>
      <c r="N43" s="41" t="s">
        <v>47</v>
      </c>
      <c r="O43" s="41" t="s">
        <v>47</v>
      </c>
      <c r="P43" s="41">
        <v>2E-3</v>
      </c>
      <c r="Q43" s="41">
        <v>1500</v>
      </c>
      <c r="R43" s="41">
        <v>24</v>
      </c>
      <c r="S43" s="41">
        <v>0</v>
      </c>
      <c r="T43" s="41">
        <v>10</v>
      </c>
      <c r="U43" s="1416"/>
      <c r="V43" s="1416"/>
      <c r="W43" s="41">
        <v>0.85</v>
      </c>
      <c r="X43" s="41">
        <f>ROUND((F43*G43*H43*I43*J43*P43*Q43)*(1-W43),4)</f>
        <v>3.3E-3</v>
      </c>
      <c r="Y43" s="41">
        <f>ROUND((((X43*R43*(31-T43-S43)*3600)/1000000)),4)</f>
        <v>6.0000000000000001E-3</v>
      </c>
    </row>
    <row r="44" spans="1:28" ht="24" x14ac:dyDescent="0.25">
      <c r="A44" s="1191"/>
      <c r="B44" s="45" t="s">
        <v>1076</v>
      </c>
      <c r="C44" s="1191"/>
      <c r="D44" s="41">
        <v>0.02</v>
      </c>
      <c r="E44" s="41">
        <v>0.01</v>
      </c>
      <c r="F44" s="46">
        <v>1.4</v>
      </c>
      <c r="G44" s="41">
        <v>1</v>
      </c>
      <c r="H44" s="41">
        <v>0.01</v>
      </c>
      <c r="I44" s="41" t="s">
        <v>47</v>
      </c>
      <c r="J44" s="41">
        <v>0.4</v>
      </c>
      <c r="K44" s="41" t="s">
        <v>47</v>
      </c>
      <c r="L44" s="41" t="s">
        <v>47</v>
      </c>
      <c r="M44" s="41">
        <v>0.5</v>
      </c>
      <c r="N44" s="41">
        <v>126</v>
      </c>
      <c r="O44" s="41">
        <v>36091</v>
      </c>
      <c r="P44" s="41" t="s">
        <v>47</v>
      </c>
      <c r="Q44" s="41" t="s">
        <v>47</v>
      </c>
      <c r="R44" s="41" t="s">
        <v>47</v>
      </c>
      <c r="S44" s="41" t="s">
        <v>47</v>
      </c>
      <c r="T44" s="41" t="s">
        <v>47</v>
      </c>
      <c r="U44" s="1417"/>
      <c r="V44" s="1417"/>
      <c r="W44" s="41">
        <v>0</v>
      </c>
      <c r="X44" s="41">
        <f>ROUND((D44*E44*F44*G44*H44*J44*N44*1000000*M44/3600)*(1-W44),4)</f>
        <v>1.9599999999999999E-2</v>
      </c>
      <c r="Y44" s="41">
        <f>ROUND((D44*E44*F44*G44*H44*J44*M44*O44)*(1-W44),4)</f>
        <v>2.0199999999999999E-2</v>
      </c>
    </row>
    <row r="45" spans="1:28" ht="48" x14ac:dyDescent="0.25">
      <c r="A45" s="1562" t="s">
        <v>1188</v>
      </c>
      <c r="B45" s="1563"/>
      <c r="C45" s="1563"/>
      <c r="D45" s="1563"/>
      <c r="E45" s="1563"/>
      <c r="F45" s="1563"/>
      <c r="G45" s="1563"/>
      <c r="H45" s="1563"/>
      <c r="I45" s="1563"/>
      <c r="J45" s="1563"/>
      <c r="K45" s="1563"/>
      <c r="L45" s="1563"/>
      <c r="M45" s="1563"/>
      <c r="N45" s="1563"/>
      <c r="O45" s="1563"/>
      <c r="P45" s="1563"/>
      <c r="Q45" s="1563"/>
      <c r="R45" s="1563"/>
      <c r="S45" s="1563"/>
      <c r="T45" s="1563"/>
      <c r="U45" s="251" t="s">
        <v>1073</v>
      </c>
      <c r="V45" s="251">
        <v>2908</v>
      </c>
      <c r="W45" s="251"/>
      <c r="X45" s="251">
        <f>X41+X42+X43+X44</f>
        <v>2.7799999999999998E-2</v>
      </c>
      <c r="Y45" s="251">
        <f>SUM(Y41:Y44)</f>
        <v>3.1199999999999999E-2</v>
      </c>
      <c r="Z45" s="872">
        <f>X45</f>
        <v>2.7799999999999998E-2</v>
      </c>
      <c r="AA45" s="872">
        <f>Y45</f>
        <v>3.1199999999999999E-2</v>
      </c>
      <c r="AB45" s="869">
        <v>2029</v>
      </c>
    </row>
    <row r="46" spans="1:28" ht="64.5" customHeight="1" x14ac:dyDescent="0.25">
      <c r="A46" s="1594" t="s">
        <v>1220</v>
      </c>
      <c r="B46" s="1595"/>
      <c r="C46" s="1595"/>
      <c r="D46" s="1595"/>
      <c r="E46" s="1595"/>
      <c r="F46" s="1595"/>
      <c r="G46" s="1595"/>
      <c r="H46" s="1595"/>
      <c r="I46" s="1595"/>
      <c r="J46" s="1595"/>
      <c r="K46" s="1595"/>
      <c r="L46" s="1595"/>
      <c r="M46" s="1595"/>
      <c r="N46" s="1595"/>
      <c r="O46" s="1595"/>
      <c r="P46" s="1595"/>
      <c r="Q46" s="1595"/>
      <c r="R46" s="1595"/>
      <c r="S46" s="1595"/>
      <c r="T46" s="1595"/>
      <c r="U46" s="1595"/>
      <c r="V46" s="1595"/>
      <c r="W46" s="1595"/>
      <c r="X46" s="1595"/>
      <c r="Y46" s="1595"/>
    </row>
  </sheetData>
  <mergeCells count="48">
    <mergeCell ref="A46:Y46"/>
    <mergeCell ref="A45:T45"/>
    <mergeCell ref="A13:Y13"/>
    <mergeCell ref="A14:A17"/>
    <mergeCell ref="C14:C17"/>
    <mergeCell ref="U14:U17"/>
    <mergeCell ref="V14:V17"/>
    <mergeCell ref="A18:T18"/>
    <mergeCell ref="A26:Y26"/>
    <mergeCell ref="A27:A30"/>
    <mergeCell ref="C27:C30"/>
    <mergeCell ref="U27:U30"/>
    <mergeCell ref="V27:V30"/>
    <mergeCell ref="A31:T31"/>
    <mergeCell ref="A38:T38"/>
    <mergeCell ref="A39:Y39"/>
    <mergeCell ref="A40:Y40"/>
    <mergeCell ref="A41:A44"/>
    <mergeCell ref="C41:C44"/>
    <mergeCell ref="U41:U44"/>
    <mergeCell ref="V41:V44"/>
    <mergeCell ref="A19:Y19"/>
    <mergeCell ref="A32:Y32"/>
    <mergeCell ref="A33:Y33"/>
    <mergeCell ref="A34:A37"/>
    <mergeCell ref="C34:C37"/>
    <mergeCell ref="U34:U37"/>
    <mergeCell ref="V34:V37"/>
    <mergeCell ref="A25:T25"/>
    <mergeCell ref="A20:Y20"/>
    <mergeCell ref="A21:A24"/>
    <mergeCell ref="C21:C24"/>
    <mergeCell ref="U21:U24"/>
    <mergeCell ref="V21:V24"/>
    <mergeCell ref="X2:Y2"/>
    <mergeCell ref="A2:A3"/>
    <mergeCell ref="B2:B3"/>
    <mergeCell ref="C2:C3"/>
    <mergeCell ref="U2:U3"/>
    <mergeCell ref="V2:V3"/>
    <mergeCell ref="A5:Y5"/>
    <mergeCell ref="A12:T12"/>
    <mergeCell ref="A8:A11"/>
    <mergeCell ref="C8:C11"/>
    <mergeCell ref="U8:U11"/>
    <mergeCell ref="V8:V11"/>
    <mergeCell ref="A7:Y7"/>
    <mergeCell ref="A6:Y6"/>
  </mergeCells>
  <pageMargins left="0.31496062992125984" right="0.31496062992125984" top="0.78740157480314965" bottom="0.39370078740157483" header="0.31496062992125984" footer="0.19685039370078741"/>
  <pageSetup paperSize="9" firstPageNumber="111" orientation="landscape" useFirstPageNumber="1" r:id="rId1"/>
  <headerFooter>
    <oddFooter>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B811D-2DB3-49F9-9839-CD62CF9DDEBD}">
  <sheetPr>
    <tabColor theme="0"/>
  </sheetPr>
  <dimension ref="A1:U199"/>
  <sheetViews>
    <sheetView view="pageBreakPreview" topLeftCell="A110" zoomScaleNormal="100" zoomScaleSheetLayoutView="100" workbookViewId="0">
      <selection activeCell="A126" sqref="A126:A127"/>
    </sheetView>
  </sheetViews>
  <sheetFormatPr defaultRowHeight="15" x14ac:dyDescent="0.25"/>
  <cols>
    <col min="1" max="1" width="6" style="54" customWidth="1"/>
    <col min="2" max="2" width="10" style="54" customWidth="1"/>
    <col min="3" max="3" width="14.85546875" style="54" customWidth="1"/>
    <col min="4" max="4" width="6.140625" style="54" customWidth="1"/>
    <col min="5" max="5" width="6.85546875" style="54" customWidth="1"/>
    <col min="6" max="6" width="8" style="54" customWidth="1"/>
    <col min="7" max="7" width="9" style="54" customWidth="1"/>
    <col min="8" max="8" width="5.42578125" style="54" customWidth="1"/>
    <col min="9" max="9" width="7.140625" style="54" customWidth="1"/>
    <col min="10" max="10" width="5.42578125" style="54" customWidth="1"/>
    <col min="11" max="11" width="29.42578125" style="316" customWidth="1"/>
    <col min="12" max="12" width="7" style="54" customWidth="1"/>
    <col min="13" max="13" width="7.140625" style="54" customWidth="1"/>
    <col min="14" max="14" width="8.7109375" style="54" customWidth="1"/>
    <col min="15" max="15" width="9.7109375" style="54" customWidth="1"/>
    <col min="16" max="16" width="10.140625" style="54" customWidth="1"/>
    <col min="17" max="17" width="11.42578125" style="54" customWidth="1"/>
    <col min="18" max="18" width="11.28515625" style="54" customWidth="1"/>
    <col min="19" max="20" width="9.140625" style="54"/>
    <col min="21" max="21" width="11.42578125" style="54" bestFit="1" customWidth="1"/>
    <col min="22" max="16384" width="9.140625" style="54"/>
  </cols>
  <sheetData>
    <row r="1" spans="1:17" ht="18.75" customHeight="1" x14ac:dyDescent="0.25">
      <c r="A1" s="1116" t="s">
        <v>1222</v>
      </c>
      <c r="B1" s="1116"/>
      <c r="C1" s="1116"/>
      <c r="D1" s="1116"/>
      <c r="E1" s="1116"/>
      <c r="F1" s="1116"/>
      <c r="G1" s="1116"/>
      <c r="H1" s="1116"/>
      <c r="I1" s="1116"/>
      <c r="J1" s="1116"/>
      <c r="K1" s="1116"/>
      <c r="L1" s="1116"/>
      <c r="M1" s="1116"/>
      <c r="N1" s="1116"/>
      <c r="O1" s="1116"/>
      <c r="P1" s="57"/>
      <c r="Q1" s="57"/>
    </row>
    <row r="2" spans="1:17" ht="18.75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s="73" customFormat="1" ht="14.25" customHeight="1" x14ac:dyDescent="0.25">
      <c r="A3" s="1620" t="s">
        <v>611</v>
      </c>
      <c r="B3" s="1620"/>
      <c r="C3" s="1620"/>
      <c r="D3" s="1620"/>
      <c r="E3" s="1620"/>
      <c r="F3" s="1620"/>
      <c r="G3" s="1620"/>
      <c r="H3" s="1620"/>
      <c r="I3" s="1620"/>
      <c r="J3" s="1620"/>
      <c r="K3" s="1620"/>
      <c r="L3" s="1620"/>
      <c r="M3" s="1620"/>
      <c r="N3" s="1620"/>
      <c r="O3" s="573"/>
    </row>
    <row r="4" spans="1:17" s="73" customFormat="1" ht="30" customHeight="1" x14ac:dyDescent="0.25">
      <c r="A4" s="1440" t="s">
        <v>832</v>
      </c>
      <c r="B4" s="1440"/>
      <c r="C4" s="1440"/>
      <c r="D4" s="1440"/>
      <c r="E4" s="1440"/>
      <c r="F4" s="1440"/>
      <c r="G4" s="1440"/>
      <c r="H4" s="1440"/>
      <c r="I4" s="1440"/>
      <c r="J4" s="1440"/>
      <c r="K4" s="1440"/>
      <c r="L4" s="1440"/>
      <c r="M4" s="1440"/>
      <c r="N4" s="1440"/>
      <c r="O4" s="1440"/>
      <c r="P4" s="72"/>
      <c r="Q4" s="72"/>
    </row>
    <row r="6" spans="1:17" ht="24.75" customHeight="1" x14ac:dyDescent="0.25">
      <c r="A6" s="1117" t="s">
        <v>833</v>
      </c>
      <c r="B6" s="1117"/>
      <c r="C6" s="1117"/>
      <c r="D6" s="1117"/>
      <c r="E6" s="1117"/>
      <c r="F6" s="1117"/>
      <c r="G6" s="1117"/>
      <c r="H6" s="1117"/>
      <c r="I6" s="1117"/>
      <c r="J6" s="1117"/>
      <c r="K6" s="1117"/>
      <c r="L6" s="1117"/>
      <c r="M6" s="1117"/>
      <c r="N6" s="1117"/>
      <c r="O6" s="1117"/>
      <c r="P6" s="58"/>
      <c r="Q6" s="58"/>
    </row>
    <row r="8" spans="1:17" s="84" customFormat="1" ht="26.25" customHeight="1" x14ac:dyDescent="0.25">
      <c r="A8" s="1117" t="s">
        <v>834</v>
      </c>
      <c r="B8" s="1117"/>
      <c r="C8" s="1117"/>
      <c r="D8" s="1117"/>
      <c r="E8" s="1117"/>
      <c r="F8" s="1117"/>
      <c r="G8" s="1117"/>
      <c r="H8" s="1117"/>
      <c r="I8" s="1117"/>
      <c r="J8" s="1117"/>
      <c r="K8" s="1117"/>
      <c r="L8" s="1117"/>
      <c r="M8" s="1117"/>
      <c r="N8" s="1117"/>
      <c r="O8" s="1117"/>
      <c r="P8" s="58"/>
      <c r="Q8" s="58"/>
    </row>
    <row r="9" spans="1:17" ht="23.25" customHeight="1" x14ac:dyDescent="0.25">
      <c r="A9" s="1116" t="s">
        <v>835</v>
      </c>
      <c r="B9" s="1116"/>
      <c r="C9" s="1116"/>
      <c r="D9" s="1116"/>
      <c r="E9" s="1116"/>
      <c r="F9" s="1116"/>
      <c r="G9" s="1116"/>
      <c r="H9" s="1116"/>
      <c r="I9" s="1116"/>
      <c r="J9" s="1116"/>
      <c r="K9" s="1116"/>
      <c r="L9" s="1116"/>
      <c r="M9" s="1116"/>
      <c r="N9" s="1116"/>
      <c r="O9" s="1116"/>
      <c r="P9" s="57"/>
      <c r="Q9" s="57"/>
    </row>
    <row r="10" spans="1:17" s="86" customFormat="1" ht="15.75" x14ac:dyDescent="0.25">
      <c r="A10" s="85" t="s">
        <v>836</v>
      </c>
      <c r="K10" s="85"/>
    </row>
    <row r="11" spans="1:17" s="86" customFormat="1" ht="18.75" customHeight="1" x14ac:dyDescent="0.25">
      <c r="A11" s="1101" t="s">
        <v>837</v>
      </c>
      <c r="B11" s="1101"/>
      <c r="C11" s="1101"/>
      <c r="D11" s="1101"/>
      <c r="E11" s="1101"/>
      <c r="F11" s="1101"/>
      <c r="G11" s="1101"/>
      <c r="H11" s="1101"/>
      <c r="I11" s="1101"/>
      <c r="J11" s="1101"/>
      <c r="K11" s="1101"/>
      <c r="L11" s="1101"/>
      <c r="M11" s="1101"/>
      <c r="N11" s="1101"/>
      <c r="O11" s="1101"/>
      <c r="P11" s="85"/>
      <c r="Q11" s="85"/>
    </row>
    <row r="12" spans="1:17" s="86" customFormat="1" ht="32.25" customHeight="1" x14ac:dyDescent="0.25">
      <c r="A12" s="1101" t="s">
        <v>838</v>
      </c>
      <c r="B12" s="1101"/>
      <c r="C12" s="1101"/>
      <c r="D12" s="1101"/>
      <c r="E12" s="1101"/>
      <c r="F12" s="1101"/>
      <c r="G12" s="1101"/>
      <c r="H12" s="1101"/>
      <c r="I12" s="1101"/>
      <c r="J12" s="1101"/>
      <c r="K12" s="1101"/>
      <c r="L12" s="1101"/>
      <c r="M12" s="1101"/>
      <c r="N12" s="1101"/>
      <c r="O12" s="1101"/>
      <c r="P12" s="85"/>
      <c r="Q12" s="85"/>
    </row>
    <row r="13" spans="1:17" ht="9" customHeight="1" x14ac:dyDescent="0.25"/>
    <row r="14" spans="1:17" s="58" customFormat="1" ht="39.75" customHeight="1" x14ac:dyDescent="0.25">
      <c r="A14" s="1117" t="s">
        <v>839</v>
      </c>
      <c r="B14" s="1117"/>
      <c r="C14" s="1117"/>
      <c r="D14" s="1117"/>
      <c r="E14" s="1117"/>
      <c r="F14" s="1117"/>
      <c r="G14" s="1117"/>
      <c r="H14" s="1117"/>
      <c r="I14" s="1117"/>
      <c r="J14" s="1117"/>
      <c r="K14" s="1117"/>
      <c r="L14" s="1117"/>
      <c r="M14" s="1117"/>
      <c r="N14" s="1117"/>
      <c r="O14" s="1117"/>
    </row>
    <row r="15" spans="1:17" s="58" customFormat="1" ht="36" customHeight="1" x14ac:dyDescent="0.25">
      <c r="A15" s="1117" t="s">
        <v>840</v>
      </c>
      <c r="B15" s="1117"/>
      <c r="C15" s="1117"/>
      <c r="D15" s="1117"/>
      <c r="E15" s="1117"/>
      <c r="F15" s="1117"/>
      <c r="G15" s="1117"/>
      <c r="H15" s="1117"/>
      <c r="I15" s="1117"/>
      <c r="J15" s="1117"/>
      <c r="K15" s="1117"/>
      <c r="L15" s="1117"/>
      <c r="M15" s="1117"/>
      <c r="N15" s="1117"/>
      <c r="O15" s="1117"/>
    </row>
    <row r="16" spans="1:17" ht="22.5" customHeight="1" x14ac:dyDescent="0.25">
      <c r="A16" s="1116" t="s">
        <v>841</v>
      </c>
      <c r="B16" s="1116"/>
      <c r="C16" s="1116"/>
      <c r="D16" s="1116"/>
      <c r="E16" s="1116"/>
      <c r="F16" s="1116"/>
      <c r="G16" s="1116"/>
      <c r="H16" s="1116"/>
      <c r="I16" s="1116"/>
      <c r="J16" s="1116"/>
      <c r="K16" s="1116"/>
      <c r="L16" s="1116"/>
      <c r="M16" s="1116"/>
      <c r="N16" s="1116"/>
      <c r="O16" s="1116"/>
      <c r="P16" s="57"/>
      <c r="Q16" s="57"/>
    </row>
    <row r="18" spans="1:17" s="58" customFormat="1" ht="15" customHeight="1" x14ac:dyDescent="0.25">
      <c r="A18" s="1117" t="s">
        <v>842</v>
      </c>
      <c r="B18" s="1117"/>
      <c r="C18" s="1117"/>
      <c r="D18" s="1117"/>
      <c r="E18" s="1117"/>
      <c r="F18" s="1117"/>
      <c r="G18" s="1117"/>
      <c r="H18" s="1117"/>
      <c r="I18" s="1117"/>
      <c r="J18" s="1117"/>
      <c r="K18" s="1117"/>
      <c r="L18" s="1117"/>
      <c r="M18" s="1117"/>
      <c r="N18" s="1117"/>
      <c r="O18" s="1117"/>
    </row>
    <row r="19" spans="1:17" ht="28.5" customHeight="1" x14ac:dyDescent="0.25">
      <c r="A19" s="1116" t="s">
        <v>843</v>
      </c>
      <c r="B19" s="1116"/>
      <c r="C19" s="1116"/>
      <c r="D19" s="1116"/>
      <c r="E19" s="1116"/>
      <c r="F19" s="1116"/>
      <c r="G19" s="1116"/>
      <c r="H19" s="1116"/>
      <c r="I19" s="1116"/>
      <c r="J19" s="1116"/>
      <c r="K19" s="1116"/>
      <c r="L19" s="1116"/>
      <c r="M19" s="1116"/>
      <c r="N19" s="1116"/>
      <c r="O19" s="1116"/>
      <c r="P19" s="57"/>
      <c r="Q19" s="57"/>
    </row>
    <row r="20" spans="1:17" s="86" customFormat="1" ht="15.75" x14ac:dyDescent="0.25">
      <c r="A20" s="85" t="s">
        <v>836</v>
      </c>
      <c r="K20" s="85"/>
    </row>
    <row r="21" spans="1:17" s="86" customFormat="1" ht="31.5" customHeight="1" x14ac:dyDescent="0.25">
      <c r="A21" s="1101" t="s">
        <v>844</v>
      </c>
      <c r="B21" s="1101"/>
      <c r="C21" s="1101"/>
      <c r="D21" s="1101"/>
      <c r="E21" s="1101"/>
      <c r="F21" s="1101"/>
      <c r="G21" s="1101"/>
      <c r="H21" s="1101"/>
      <c r="I21" s="1101"/>
      <c r="J21" s="1101"/>
      <c r="K21" s="1101"/>
      <c r="L21" s="1101"/>
      <c r="M21" s="1101"/>
      <c r="N21" s="1101"/>
      <c r="O21" s="1101"/>
      <c r="P21" s="85"/>
      <c r="Q21" s="85"/>
    </row>
    <row r="22" spans="1:17" s="86" customFormat="1" ht="32.25" customHeight="1" x14ac:dyDescent="0.25">
      <c r="A22" s="1101" t="s">
        <v>838</v>
      </c>
      <c r="B22" s="1101"/>
      <c r="C22" s="1101"/>
      <c r="D22" s="1101"/>
      <c r="E22" s="1101"/>
      <c r="F22" s="1101"/>
      <c r="G22" s="1101"/>
      <c r="H22" s="1101"/>
      <c r="I22" s="1101"/>
      <c r="J22" s="1101"/>
      <c r="K22" s="1101"/>
      <c r="L22" s="1101"/>
      <c r="M22" s="1101"/>
      <c r="N22" s="1101"/>
      <c r="O22" s="1101"/>
      <c r="P22" s="85"/>
      <c r="Q22" s="85"/>
    </row>
    <row r="23" spans="1:17" ht="20.25" customHeight="1" x14ac:dyDescent="0.25">
      <c r="A23" s="1101" t="s">
        <v>845</v>
      </c>
      <c r="B23" s="1101"/>
      <c r="C23" s="1101"/>
      <c r="D23" s="1101"/>
      <c r="E23" s="1101"/>
      <c r="F23" s="1101"/>
      <c r="G23" s="1101"/>
      <c r="H23" s="1101"/>
      <c r="I23" s="1101"/>
      <c r="J23" s="1101"/>
      <c r="K23" s="1101"/>
      <c r="L23" s="1101"/>
      <c r="M23" s="1101"/>
      <c r="N23" s="1101"/>
      <c r="O23" s="1101"/>
      <c r="P23" s="85"/>
      <c r="Q23" s="85"/>
    </row>
    <row r="25" spans="1:17" ht="22.5" customHeight="1" x14ac:dyDescent="0.25">
      <c r="A25" s="1117" t="s">
        <v>846</v>
      </c>
      <c r="B25" s="1117"/>
      <c r="C25" s="1117"/>
      <c r="D25" s="1117"/>
      <c r="E25" s="1117"/>
      <c r="F25" s="1117"/>
      <c r="G25" s="1117"/>
      <c r="H25" s="1117"/>
      <c r="I25" s="1117"/>
      <c r="J25" s="1117"/>
      <c r="K25" s="1117"/>
      <c r="L25" s="1117"/>
      <c r="M25" s="1117"/>
      <c r="N25" s="1117"/>
      <c r="O25" s="1117"/>
      <c r="P25" s="58"/>
      <c r="Q25" s="58"/>
    </row>
    <row r="26" spans="1:17" ht="22.5" customHeight="1" x14ac:dyDescent="0.25">
      <c r="A26" s="1116" t="s">
        <v>847</v>
      </c>
      <c r="B26" s="1116"/>
      <c r="C26" s="1116"/>
      <c r="D26" s="1116"/>
      <c r="E26" s="1116"/>
      <c r="F26" s="1116"/>
      <c r="G26" s="1116"/>
      <c r="H26" s="1116"/>
      <c r="I26" s="1116"/>
      <c r="J26" s="1116"/>
      <c r="K26" s="1116"/>
      <c r="L26" s="1116"/>
      <c r="M26" s="1116"/>
      <c r="N26" s="1116"/>
      <c r="O26" s="1116"/>
      <c r="P26" s="57"/>
      <c r="Q26" s="57"/>
    </row>
    <row r="27" spans="1:17" s="86" customFormat="1" ht="15.75" x14ac:dyDescent="0.25">
      <c r="A27" s="85" t="s">
        <v>836</v>
      </c>
      <c r="K27" s="85"/>
    </row>
    <row r="28" spans="1:17" s="86" customFormat="1" ht="21.75" customHeight="1" x14ac:dyDescent="0.25">
      <c r="A28" s="1101" t="s">
        <v>848</v>
      </c>
      <c r="B28" s="1101"/>
      <c r="C28" s="1101"/>
      <c r="D28" s="1101"/>
      <c r="E28" s="1101"/>
      <c r="F28" s="1101"/>
      <c r="G28" s="1101"/>
      <c r="H28" s="1101"/>
      <c r="I28" s="1101"/>
      <c r="J28" s="1101"/>
      <c r="K28" s="1101"/>
      <c r="L28" s="1101"/>
      <c r="M28" s="1101"/>
      <c r="N28" s="1101"/>
      <c r="O28" s="1101"/>
      <c r="P28" s="85"/>
      <c r="Q28" s="85"/>
    </row>
    <row r="29" spans="1:17" s="86" customFormat="1" ht="13.5" customHeight="1" x14ac:dyDescent="0.25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7" s="84" customFormat="1" ht="32.25" customHeight="1" x14ac:dyDescent="0.25">
      <c r="A30" s="1117" t="s">
        <v>849</v>
      </c>
      <c r="B30" s="1117"/>
      <c r="C30" s="1117"/>
      <c r="D30" s="1117"/>
      <c r="E30" s="1117"/>
      <c r="F30" s="1117"/>
      <c r="G30" s="1117"/>
      <c r="H30" s="1117"/>
      <c r="I30" s="1117"/>
      <c r="J30" s="1117"/>
      <c r="K30" s="1117"/>
      <c r="L30" s="1117"/>
      <c r="M30" s="1117"/>
      <c r="N30" s="1117"/>
      <c r="O30" s="1117"/>
      <c r="P30" s="58"/>
      <c r="Q30" s="58"/>
    </row>
    <row r="31" spans="1:17" s="87" customFormat="1" ht="20.25" customHeight="1" x14ac:dyDescent="0.25">
      <c r="A31" s="1117" t="s">
        <v>850</v>
      </c>
      <c r="B31" s="1117"/>
      <c r="C31" s="1117"/>
      <c r="D31" s="1117"/>
      <c r="E31" s="1117"/>
      <c r="F31" s="1117"/>
      <c r="G31" s="1117"/>
      <c r="H31" s="1117"/>
      <c r="I31" s="1117"/>
      <c r="J31" s="1117"/>
      <c r="K31" s="1117"/>
      <c r="L31" s="1117"/>
      <c r="M31" s="1117"/>
      <c r="N31" s="1117"/>
      <c r="O31" s="1117"/>
      <c r="P31" s="58"/>
      <c r="Q31" s="58"/>
    </row>
    <row r="32" spans="1:17" s="87" customFormat="1" ht="24" customHeight="1" x14ac:dyDescent="0.25">
      <c r="A32" s="1117" t="s">
        <v>851</v>
      </c>
      <c r="B32" s="1117"/>
      <c r="C32" s="1117"/>
      <c r="D32" s="1117"/>
      <c r="E32" s="1117"/>
      <c r="F32" s="1117"/>
      <c r="G32" s="1117"/>
      <c r="H32" s="1117"/>
      <c r="I32" s="1117"/>
      <c r="J32" s="1117"/>
      <c r="K32" s="1117"/>
      <c r="L32" s="1117"/>
      <c r="M32" s="1117"/>
      <c r="N32" s="1117"/>
      <c r="O32" s="1117"/>
      <c r="P32" s="58"/>
      <c r="Q32" s="58"/>
    </row>
    <row r="33" spans="1:21" s="86" customFormat="1" ht="15.75" x14ac:dyDescent="0.25">
      <c r="A33" s="85" t="s">
        <v>836</v>
      </c>
      <c r="K33" s="85"/>
    </row>
    <row r="34" spans="1:21" s="86" customFormat="1" ht="21.75" customHeight="1" x14ac:dyDescent="0.25">
      <c r="A34" s="1101" t="s">
        <v>852</v>
      </c>
      <c r="B34" s="1101"/>
      <c r="C34" s="1101"/>
      <c r="D34" s="1101"/>
      <c r="E34" s="1101"/>
      <c r="F34" s="1101"/>
      <c r="G34" s="1101"/>
      <c r="H34" s="1101"/>
      <c r="I34" s="1101"/>
      <c r="J34" s="1101"/>
      <c r="K34" s="1101"/>
      <c r="L34" s="1101"/>
      <c r="M34" s="1101"/>
      <c r="N34" s="1101"/>
      <c r="O34" s="1101"/>
      <c r="P34" s="85"/>
      <c r="Q34" s="85"/>
    </row>
    <row r="35" spans="1:21" ht="39" customHeight="1" x14ac:dyDescent="0.25">
      <c r="A35" s="1117" t="s">
        <v>1221</v>
      </c>
      <c r="B35" s="1117"/>
      <c r="C35" s="1117"/>
      <c r="D35" s="1117"/>
      <c r="E35" s="1117"/>
      <c r="F35" s="1117"/>
      <c r="G35" s="1117"/>
      <c r="H35" s="1117"/>
      <c r="I35" s="1117"/>
      <c r="J35" s="1117"/>
      <c r="K35" s="1117"/>
      <c r="L35" s="1117"/>
      <c r="M35" s="1117"/>
      <c r="N35" s="1117"/>
      <c r="O35" s="1117"/>
      <c r="P35" s="58"/>
      <c r="Q35" s="58"/>
    </row>
    <row r="36" spans="1:21" ht="7.5" customHeight="1" x14ac:dyDescent="0.2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1:21" ht="21" customHeight="1" x14ac:dyDescent="0.25">
      <c r="A37" s="1621" t="s">
        <v>1223</v>
      </c>
      <c r="B37" s="1621"/>
      <c r="C37" s="1621"/>
      <c r="D37" s="1621"/>
      <c r="E37" s="1621"/>
      <c r="F37" s="1621"/>
      <c r="G37" s="1621"/>
      <c r="H37" s="1621"/>
      <c r="I37" s="1621"/>
      <c r="J37" s="1621"/>
      <c r="K37" s="1621"/>
      <c r="L37" s="1621"/>
      <c r="M37" s="1621"/>
      <c r="N37" s="1621"/>
      <c r="O37" s="1621"/>
      <c r="P37" s="88"/>
      <c r="Q37" s="58"/>
    </row>
    <row r="38" spans="1:21" s="90" customFormat="1" ht="12.95" customHeight="1" x14ac:dyDescent="0.25">
      <c r="A38" s="1192" t="s">
        <v>790</v>
      </c>
      <c r="B38" s="1192" t="s">
        <v>175</v>
      </c>
      <c r="C38" s="1192" t="s">
        <v>176</v>
      </c>
      <c r="D38" s="1192" t="s">
        <v>177</v>
      </c>
      <c r="E38" s="1192" t="s">
        <v>999</v>
      </c>
      <c r="F38" s="1192" t="s">
        <v>178</v>
      </c>
      <c r="G38" s="1192" t="s">
        <v>179</v>
      </c>
      <c r="H38" s="1192" t="s">
        <v>1086</v>
      </c>
      <c r="I38" s="1192" t="s">
        <v>1087</v>
      </c>
      <c r="J38" s="1192" t="s">
        <v>1088</v>
      </c>
      <c r="K38" s="1623" t="s">
        <v>41</v>
      </c>
      <c r="L38" s="1192" t="s">
        <v>4</v>
      </c>
      <c r="M38" s="1192" t="s">
        <v>1089</v>
      </c>
      <c r="N38" s="1622" t="s">
        <v>180</v>
      </c>
      <c r="O38" s="1293"/>
      <c r="P38" s="89"/>
      <c r="Q38" s="66"/>
    </row>
    <row r="39" spans="1:21" s="90" customFormat="1" ht="27" customHeight="1" x14ac:dyDescent="0.25">
      <c r="A39" s="1272"/>
      <c r="B39" s="1272"/>
      <c r="C39" s="1272"/>
      <c r="D39" s="1272"/>
      <c r="E39" s="1272"/>
      <c r="F39" s="1272"/>
      <c r="G39" s="1272"/>
      <c r="H39" s="1272"/>
      <c r="I39" s="1272"/>
      <c r="J39" s="1272"/>
      <c r="K39" s="1624"/>
      <c r="L39" s="1272"/>
      <c r="M39" s="1272"/>
      <c r="N39" s="347" t="s">
        <v>88</v>
      </c>
      <c r="O39" s="347" t="s">
        <v>89</v>
      </c>
      <c r="P39" s="89"/>
      <c r="Q39" s="66"/>
    </row>
    <row r="40" spans="1:21" s="90" customFormat="1" ht="15" customHeight="1" x14ac:dyDescent="0.25">
      <c r="A40" s="8" t="s">
        <v>90</v>
      </c>
      <c r="B40" s="8" t="s">
        <v>91</v>
      </c>
      <c r="C40" s="8" t="s">
        <v>92</v>
      </c>
      <c r="D40" s="8" t="s">
        <v>93</v>
      </c>
      <c r="E40" s="8">
        <v>5</v>
      </c>
      <c r="F40" s="8">
        <v>6</v>
      </c>
      <c r="G40" s="8">
        <v>7</v>
      </c>
      <c r="H40" s="8">
        <v>8</v>
      </c>
      <c r="I40" s="8">
        <v>9</v>
      </c>
      <c r="J40" s="8">
        <v>10</v>
      </c>
      <c r="K40" s="8">
        <v>11</v>
      </c>
      <c r="L40" s="8">
        <v>12</v>
      </c>
      <c r="M40" s="8">
        <v>13</v>
      </c>
      <c r="N40" s="8">
        <v>14</v>
      </c>
      <c r="O40" s="8">
        <v>15</v>
      </c>
      <c r="P40" s="59"/>
      <c r="Q40" s="66"/>
    </row>
    <row r="41" spans="1:21" s="90" customFormat="1" ht="15" customHeight="1" x14ac:dyDescent="0.25">
      <c r="A41" s="1611" t="s">
        <v>368</v>
      </c>
      <c r="B41" s="1612"/>
      <c r="C41" s="1612"/>
      <c r="D41" s="1612"/>
      <c r="E41" s="1612"/>
      <c r="F41" s="1612"/>
      <c r="G41" s="1612"/>
      <c r="H41" s="1612"/>
      <c r="I41" s="1612"/>
      <c r="J41" s="1612"/>
      <c r="K41" s="1612"/>
      <c r="L41" s="1612"/>
      <c r="M41" s="1612"/>
      <c r="N41" s="1612"/>
      <c r="O41" s="1613"/>
      <c r="P41" s="64"/>
      <c r="Q41" s="158"/>
    </row>
    <row r="42" spans="1:21" s="90" customFormat="1" ht="15" customHeight="1" x14ac:dyDescent="0.25">
      <c r="A42" s="1602" t="s">
        <v>5</v>
      </c>
      <c r="B42" s="1603"/>
      <c r="C42" s="1603"/>
      <c r="D42" s="1603"/>
      <c r="E42" s="1603"/>
      <c r="F42" s="1603"/>
      <c r="G42" s="1603"/>
      <c r="H42" s="1603"/>
      <c r="I42" s="1603"/>
      <c r="J42" s="1603"/>
      <c r="K42" s="1603"/>
      <c r="L42" s="1603"/>
      <c r="M42" s="1603"/>
      <c r="N42" s="1603"/>
      <c r="O42" s="1604"/>
      <c r="P42" s="91"/>
      <c r="Q42" s="92"/>
    </row>
    <row r="43" spans="1:21" s="90" customFormat="1" ht="15" customHeight="1" x14ac:dyDescent="0.25">
      <c r="A43" s="1514" t="s">
        <v>8</v>
      </c>
      <c r="B43" s="1515"/>
      <c r="C43" s="1515"/>
      <c r="D43" s="1515"/>
      <c r="E43" s="1515"/>
      <c r="F43" s="1515"/>
      <c r="G43" s="1515"/>
      <c r="H43" s="1515"/>
      <c r="I43" s="1515"/>
      <c r="J43" s="1515"/>
      <c r="K43" s="1515"/>
      <c r="L43" s="1515"/>
      <c r="M43" s="1515"/>
      <c r="N43" s="1515"/>
      <c r="O43" s="1516"/>
      <c r="P43" s="91"/>
      <c r="Q43" s="92"/>
      <c r="R43" s="159"/>
    </row>
    <row r="44" spans="1:21" s="819" customFormat="1" ht="15" customHeight="1" x14ac:dyDescent="0.25">
      <c r="A44" s="1202">
        <v>7008</v>
      </c>
      <c r="B44" s="1202" t="s">
        <v>181</v>
      </c>
      <c r="C44" s="816" t="s">
        <v>182</v>
      </c>
      <c r="D44" s="757">
        <v>3.6</v>
      </c>
      <c r="E44" s="757">
        <v>3.14</v>
      </c>
      <c r="F44" s="757">
        <v>53.597999999999999</v>
      </c>
      <c r="G44" s="757">
        <v>67.284999999999997</v>
      </c>
      <c r="H44" s="757">
        <v>1.6</v>
      </c>
      <c r="I44" s="757">
        <v>2.2000000000000002</v>
      </c>
      <c r="J44" s="757">
        <v>50</v>
      </c>
      <c r="K44" s="817" t="s">
        <v>205</v>
      </c>
      <c r="L44" s="757">
        <v>2754</v>
      </c>
      <c r="M44" s="757">
        <v>99.72</v>
      </c>
      <c r="N44" s="757">
        <f>ROUND(((D44*E44*2/3600)*(M44/100)),4)</f>
        <v>6.3E-3</v>
      </c>
      <c r="O44" s="757">
        <f>ROUND(((((H44*F44+I44*G44)/1000000)+(0.5*J44*(F44+G44)/1000000))*(M44/100)),5)</f>
        <v>3.2499999999999999E-3</v>
      </c>
      <c r="P44" s="818"/>
      <c r="Q44" s="780"/>
      <c r="R44" s="814">
        <v>120.883</v>
      </c>
      <c r="S44" s="814" t="s">
        <v>184</v>
      </c>
      <c r="T44" s="811"/>
    </row>
    <row r="45" spans="1:21" s="819" customFormat="1" ht="15" customHeight="1" x14ac:dyDescent="0.25">
      <c r="A45" s="1598"/>
      <c r="B45" s="1598"/>
      <c r="C45" s="820"/>
      <c r="D45" s="776"/>
      <c r="E45" s="776"/>
      <c r="F45" s="776"/>
      <c r="G45" s="776"/>
      <c r="H45" s="776"/>
      <c r="I45" s="776"/>
      <c r="J45" s="776"/>
      <c r="K45" s="777" t="s">
        <v>185</v>
      </c>
      <c r="L45" s="776" t="s">
        <v>186</v>
      </c>
      <c r="M45" s="776" t="s">
        <v>187</v>
      </c>
      <c r="N45" s="776">
        <f>ROUND(((D44*E44*2/3600)*(M45/100)),5)</f>
        <v>2.0000000000000002E-5</v>
      </c>
      <c r="O45" s="776">
        <f>ROUND(((((H44*F44+I44*G44)/1000000)+(0.5*J44*(F44+G44)/1000000))*(M45/100)),6)</f>
        <v>9.0000000000000002E-6</v>
      </c>
      <c r="P45" s="818"/>
      <c r="Q45" s="780"/>
      <c r="R45" s="815"/>
      <c r="S45" s="811"/>
      <c r="T45" s="811"/>
    </row>
    <row r="46" spans="1:21" s="811" customFormat="1" ht="15" customHeight="1" x14ac:dyDescent="0.25">
      <c r="A46" s="1514" t="s">
        <v>204</v>
      </c>
      <c r="B46" s="1515"/>
      <c r="C46" s="1515"/>
      <c r="D46" s="1515"/>
      <c r="E46" s="1515"/>
      <c r="F46" s="1515"/>
      <c r="G46" s="1515"/>
      <c r="H46" s="1515"/>
      <c r="I46" s="1515"/>
      <c r="J46" s="1515"/>
      <c r="K46" s="1515"/>
      <c r="L46" s="1515"/>
      <c r="M46" s="1515"/>
      <c r="N46" s="1515"/>
      <c r="O46" s="1516"/>
      <c r="P46" s="813"/>
      <c r="Q46" s="814"/>
      <c r="R46" s="815"/>
      <c r="U46" s="821"/>
    </row>
    <row r="47" spans="1:21" s="819" customFormat="1" ht="15" customHeight="1" x14ac:dyDescent="0.25">
      <c r="A47" s="1202">
        <v>7013</v>
      </c>
      <c r="B47" s="1202" t="s">
        <v>181</v>
      </c>
      <c r="C47" s="816" t="s">
        <v>182</v>
      </c>
      <c r="D47" s="757">
        <v>3.6</v>
      </c>
      <c r="E47" s="757">
        <v>3.14</v>
      </c>
      <c r="F47" s="757">
        <v>19.187000000000001</v>
      </c>
      <c r="G47" s="757">
        <v>0</v>
      </c>
      <c r="H47" s="757">
        <v>1.6</v>
      </c>
      <c r="I47" s="757">
        <v>2.2000000000000002</v>
      </c>
      <c r="J47" s="757">
        <v>50</v>
      </c>
      <c r="K47" s="817" t="s">
        <v>205</v>
      </c>
      <c r="L47" s="757">
        <v>2754</v>
      </c>
      <c r="M47" s="757">
        <v>99.72</v>
      </c>
      <c r="N47" s="757">
        <f>ROUND(((D47*E47*2/3600)*(M47/100)),4)</f>
        <v>6.3E-3</v>
      </c>
      <c r="O47" s="757">
        <f>ROUND(((((H47*F47+I47*G47)/1000000)+(0.5*J47*(F47+G47)/1000000))*(M47/100)),5)</f>
        <v>5.1000000000000004E-4</v>
      </c>
      <c r="P47" s="818"/>
      <c r="Q47" s="780"/>
      <c r="R47" s="814">
        <v>19.187000000000001</v>
      </c>
      <c r="S47" s="814" t="s">
        <v>184</v>
      </c>
      <c r="T47" s="811"/>
    </row>
    <row r="48" spans="1:21" s="819" customFormat="1" ht="15" customHeight="1" x14ac:dyDescent="0.25">
      <c r="A48" s="1598"/>
      <c r="B48" s="1598"/>
      <c r="C48" s="820"/>
      <c r="D48" s="776"/>
      <c r="E48" s="776"/>
      <c r="F48" s="776"/>
      <c r="G48" s="776"/>
      <c r="H48" s="776"/>
      <c r="I48" s="776"/>
      <c r="J48" s="776"/>
      <c r="K48" s="777" t="s">
        <v>185</v>
      </c>
      <c r="L48" s="776" t="s">
        <v>186</v>
      </c>
      <c r="M48" s="776" t="s">
        <v>187</v>
      </c>
      <c r="N48" s="776">
        <f>ROUND(((D47*E47*2/3600)*(M48/100)),5)</f>
        <v>2.0000000000000002E-5</v>
      </c>
      <c r="O48" s="776">
        <f>ROUND(((((H47*F47+I47*G47)/1000000)+(0.5*J47*(F47+G47)/1000000))*(M48/100)),6)</f>
        <v>9.9999999999999995E-7</v>
      </c>
      <c r="P48" s="818"/>
      <c r="Q48" s="780"/>
      <c r="R48" s="815"/>
      <c r="S48" s="811"/>
      <c r="T48" s="811"/>
    </row>
    <row r="49" spans="1:21" s="811" customFormat="1" ht="15" customHeight="1" x14ac:dyDescent="0.25">
      <c r="A49" s="1514" t="s">
        <v>210</v>
      </c>
      <c r="B49" s="1515"/>
      <c r="C49" s="1515"/>
      <c r="D49" s="1515"/>
      <c r="E49" s="1515"/>
      <c r="F49" s="1515"/>
      <c r="G49" s="1515"/>
      <c r="H49" s="1515"/>
      <c r="I49" s="1515"/>
      <c r="J49" s="1515"/>
      <c r="K49" s="1515"/>
      <c r="L49" s="1515"/>
      <c r="M49" s="1515"/>
      <c r="N49" s="1515"/>
      <c r="O49" s="1516"/>
      <c r="P49" s="814"/>
      <c r="Q49" s="814"/>
      <c r="R49" s="815"/>
      <c r="U49" s="822"/>
    </row>
    <row r="50" spans="1:21" s="819" customFormat="1" ht="15" customHeight="1" x14ac:dyDescent="0.25">
      <c r="A50" s="1202">
        <v>7018</v>
      </c>
      <c r="B50" s="1202" t="s">
        <v>181</v>
      </c>
      <c r="C50" s="816" t="s">
        <v>182</v>
      </c>
      <c r="D50" s="757">
        <v>3.6</v>
      </c>
      <c r="E50" s="757">
        <v>3.14</v>
      </c>
      <c r="F50" s="757">
        <v>14.978999999999999</v>
      </c>
      <c r="G50" s="757">
        <v>11.0625</v>
      </c>
      <c r="H50" s="757">
        <v>1.6</v>
      </c>
      <c r="I50" s="757">
        <v>2.2000000000000002</v>
      </c>
      <c r="J50" s="757">
        <v>50</v>
      </c>
      <c r="K50" s="817" t="s">
        <v>205</v>
      </c>
      <c r="L50" s="757">
        <v>2754</v>
      </c>
      <c r="M50" s="757">
        <v>99.72</v>
      </c>
      <c r="N50" s="757">
        <f>ROUND(((D50*E50*2/3600)*(M50/100)),4)</f>
        <v>6.3E-3</v>
      </c>
      <c r="O50" s="757">
        <f>ROUND(((((H50*F50+I50*G50)/1000000)+(0.5*J50*(F50+G50)/1000000))*(M50/100)),5)</f>
        <v>6.9999999999999999E-4</v>
      </c>
      <c r="P50" s="818"/>
      <c r="Q50" s="780"/>
      <c r="R50" s="814">
        <v>26.042000000000002</v>
      </c>
      <c r="S50" s="814" t="s">
        <v>184</v>
      </c>
      <c r="T50" s="811"/>
    </row>
    <row r="51" spans="1:21" s="819" customFormat="1" ht="15" customHeight="1" x14ac:dyDescent="0.25">
      <c r="A51" s="1598"/>
      <c r="B51" s="1598"/>
      <c r="C51" s="820"/>
      <c r="D51" s="776"/>
      <c r="E51" s="776"/>
      <c r="F51" s="776"/>
      <c r="G51" s="776"/>
      <c r="H51" s="776"/>
      <c r="I51" s="776"/>
      <c r="J51" s="776"/>
      <c r="K51" s="777" t="s">
        <v>185</v>
      </c>
      <c r="L51" s="776" t="s">
        <v>186</v>
      </c>
      <c r="M51" s="776" t="s">
        <v>187</v>
      </c>
      <c r="N51" s="776">
        <f>ROUND(((D50*E50*2/3600)*(M51/100)),5)</f>
        <v>2.0000000000000002E-5</v>
      </c>
      <c r="O51" s="776">
        <f>ROUND(((((H50*F50+I50*G50)/1000000)+(0.5*J50*(F50+G50)/1000000))*(M51/100)),6)</f>
        <v>1.9999999999999999E-6</v>
      </c>
      <c r="P51" s="818"/>
      <c r="Q51" s="780"/>
      <c r="R51" s="815"/>
      <c r="S51" s="811"/>
      <c r="T51" s="811"/>
    </row>
    <row r="52" spans="1:21" s="811" customFormat="1" ht="15" customHeight="1" x14ac:dyDescent="0.25">
      <c r="A52" s="1514" t="s">
        <v>213</v>
      </c>
      <c r="B52" s="1515"/>
      <c r="C52" s="1515"/>
      <c r="D52" s="1515"/>
      <c r="E52" s="1515"/>
      <c r="F52" s="1515"/>
      <c r="G52" s="1515"/>
      <c r="H52" s="1515"/>
      <c r="I52" s="1515"/>
      <c r="J52" s="1515"/>
      <c r="K52" s="1515"/>
      <c r="L52" s="1515"/>
      <c r="M52" s="1515"/>
      <c r="N52" s="1515"/>
      <c r="O52" s="1516"/>
      <c r="P52" s="813"/>
      <c r="Q52" s="814"/>
      <c r="R52" s="815"/>
      <c r="U52" s="822"/>
    </row>
    <row r="53" spans="1:21" s="819" customFormat="1" ht="15" customHeight="1" x14ac:dyDescent="0.25">
      <c r="A53" s="1202">
        <v>7024</v>
      </c>
      <c r="B53" s="1202" t="s">
        <v>181</v>
      </c>
      <c r="C53" s="816" t="s">
        <v>182</v>
      </c>
      <c r="D53" s="757">
        <v>3.6</v>
      </c>
      <c r="E53" s="757">
        <v>3.14</v>
      </c>
      <c r="F53" s="757">
        <v>27.583500000000001</v>
      </c>
      <c r="G53" s="757">
        <v>34.811500000000002</v>
      </c>
      <c r="H53" s="757">
        <v>1.6</v>
      </c>
      <c r="I53" s="757">
        <v>2.2000000000000002</v>
      </c>
      <c r="J53" s="757">
        <v>50</v>
      </c>
      <c r="K53" s="817" t="s">
        <v>205</v>
      </c>
      <c r="L53" s="757">
        <v>2754</v>
      </c>
      <c r="M53" s="757">
        <v>99.72</v>
      </c>
      <c r="N53" s="757">
        <f>ROUND(((D53*E53*2/3600)*(M53/100)),4)</f>
        <v>6.3E-3</v>
      </c>
      <c r="O53" s="757">
        <f>ROUND(((((H53*F53+I53*G53)/1000000)+(0.5*J53*(F53+G53)/1000000))*(M53/100)),5)</f>
        <v>1.6800000000000001E-3</v>
      </c>
      <c r="P53" s="818"/>
      <c r="Q53" s="780"/>
      <c r="R53" s="814">
        <v>62.395000000000003</v>
      </c>
      <c r="S53" s="814" t="s">
        <v>184</v>
      </c>
      <c r="T53" s="811"/>
    </row>
    <row r="54" spans="1:21" s="819" customFormat="1" ht="15" customHeight="1" x14ac:dyDescent="0.25">
      <c r="A54" s="1598"/>
      <c r="B54" s="1598"/>
      <c r="C54" s="820"/>
      <c r="D54" s="776"/>
      <c r="E54" s="776"/>
      <c r="F54" s="776"/>
      <c r="G54" s="776"/>
      <c r="H54" s="776"/>
      <c r="I54" s="776"/>
      <c r="J54" s="776"/>
      <c r="K54" s="777" t="s">
        <v>185</v>
      </c>
      <c r="L54" s="776" t="s">
        <v>186</v>
      </c>
      <c r="M54" s="776" t="s">
        <v>187</v>
      </c>
      <c r="N54" s="776">
        <f>ROUND(((D53*E53*2/3600)*(M54/100)),5)</f>
        <v>2.0000000000000002E-5</v>
      </c>
      <c r="O54" s="776">
        <f>ROUND(((((H53*F53+I53*G53)/1000000)+(0.5*J53*(F53+G53)/1000000))*(M54/100)),6)</f>
        <v>5.0000000000000004E-6</v>
      </c>
      <c r="P54" s="818"/>
      <c r="Q54" s="780"/>
      <c r="R54" s="815"/>
      <c r="S54" s="811"/>
      <c r="T54" s="811"/>
    </row>
    <row r="55" spans="1:21" s="811" customFormat="1" ht="15" customHeight="1" x14ac:dyDescent="0.25">
      <c r="A55" s="1514" t="s">
        <v>215</v>
      </c>
      <c r="B55" s="1515"/>
      <c r="C55" s="1515"/>
      <c r="D55" s="1515"/>
      <c r="E55" s="1515"/>
      <c r="F55" s="1515"/>
      <c r="G55" s="1515"/>
      <c r="H55" s="1515"/>
      <c r="I55" s="1515"/>
      <c r="J55" s="1515"/>
      <c r="K55" s="1515"/>
      <c r="L55" s="1515"/>
      <c r="M55" s="1515"/>
      <c r="N55" s="1515"/>
      <c r="O55" s="1516"/>
      <c r="P55" s="813"/>
      <c r="Q55" s="814"/>
      <c r="R55" s="815"/>
      <c r="U55" s="822"/>
    </row>
    <row r="56" spans="1:21" s="819" customFormat="1" ht="15" customHeight="1" x14ac:dyDescent="0.25">
      <c r="A56" s="1202">
        <v>7031</v>
      </c>
      <c r="B56" s="1202" t="s">
        <v>181</v>
      </c>
      <c r="C56" s="816" t="s">
        <v>182</v>
      </c>
      <c r="D56" s="757">
        <v>3.6</v>
      </c>
      <c r="E56" s="757">
        <v>3.14</v>
      </c>
      <c r="F56" s="757">
        <v>43.478000000000002</v>
      </c>
      <c r="G56" s="757">
        <v>56.43</v>
      </c>
      <c r="H56" s="757">
        <v>1.6</v>
      </c>
      <c r="I56" s="757">
        <v>2.2000000000000002</v>
      </c>
      <c r="J56" s="757">
        <v>50</v>
      </c>
      <c r="K56" s="817" t="s">
        <v>205</v>
      </c>
      <c r="L56" s="757">
        <v>2754</v>
      </c>
      <c r="M56" s="757">
        <v>99.72</v>
      </c>
      <c r="N56" s="757">
        <f>ROUND(((D56*E56*2/3600)*(M56/100)),4)</f>
        <v>6.3E-3</v>
      </c>
      <c r="O56" s="757">
        <f>ROUND(((((H56*F56+I56*G56)/1000000)+(0.5*J56*(F56+G56)/1000000))*(M56/100)),5)</f>
        <v>2.6800000000000001E-3</v>
      </c>
      <c r="P56" s="818"/>
      <c r="Q56" s="780"/>
      <c r="R56" s="814">
        <v>99.908000000000001</v>
      </c>
      <c r="S56" s="814" t="s">
        <v>184</v>
      </c>
      <c r="T56" s="811"/>
    </row>
    <row r="57" spans="1:21" s="819" customFormat="1" ht="15" customHeight="1" x14ac:dyDescent="0.25">
      <c r="A57" s="1598"/>
      <c r="B57" s="1598"/>
      <c r="C57" s="820"/>
      <c r="D57" s="776"/>
      <c r="E57" s="776"/>
      <c r="F57" s="776"/>
      <c r="G57" s="776"/>
      <c r="H57" s="776"/>
      <c r="I57" s="776"/>
      <c r="J57" s="776"/>
      <c r="K57" s="777" t="s">
        <v>185</v>
      </c>
      <c r="L57" s="776" t="s">
        <v>186</v>
      </c>
      <c r="M57" s="776" t="s">
        <v>187</v>
      </c>
      <c r="N57" s="776">
        <f>ROUND(((D56*E56*2/3600)*(M57/100)),5)</f>
        <v>2.0000000000000002E-5</v>
      </c>
      <c r="O57" s="776">
        <f>ROUND(((((H56*F56+I56*G56)/1000000)+(0.5*J56*(F56+G56)/1000000))*(M57/100)),6)</f>
        <v>7.9999999999999996E-6</v>
      </c>
      <c r="P57" s="818"/>
      <c r="Q57" s="780"/>
      <c r="R57" s="815"/>
      <c r="S57" s="811"/>
      <c r="T57" s="811"/>
    </row>
    <row r="58" spans="1:21" s="811" customFormat="1" ht="15" customHeight="1" x14ac:dyDescent="0.25">
      <c r="A58" s="1514" t="s">
        <v>244</v>
      </c>
      <c r="B58" s="1515"/>
      <c r="C58" s="1515"/>
      <c r="D58" s="1515"/>
      <c r="E58" s="1515"/>
      <c r="F58" s="1515"/>
      <c r="G58" s="1515"/>
      <c r="H58" s="1515"/>
      <c r="I58" s="1515"/>
      <c r="J58" s="1515"/>
      <c r="K58" s="1515"/>
      <c r="L58" s="1515"/>
      <c r="M58" s="1515"/>
      <c r="N58" s="1515"/>
      <c r="O58" s="1516"/>
      <c r="P58" s="813"/>
      <c r="Q58" s="814"/>
      <c r="R58" s="815"/>
      <c r="U58" s="821"/>
    </row>
    <row r="59" spans="1:21" s="819" customFormat="1" ht="15" customHeight="1" x14ac:dyDescent="0.25">
      <c r="A59" s="1202">
        <v>7053</v>
      </c>
      <c r="B59" s="1202" t="s">
        <v>181</v>
      </c>
      <c r="C59" s="816" t="s">
        <v>182</v>
      </c>
      <c r="D59" s="757">
        <v>3.6</v>
      </c>
      <c r="E59" s="757">
        <v>3.14</v>
      </c>
      <c r="F59" s="757">
        <v>33.238500000000002</v>
      </c>
      <c r="G59" s="757">
        <v>15.859500000000001</v>
      </c>
      <c r="H59" s="757">
        <v>1.6</v>
      </c>
      <c r="I59" s="757">
        <v>2.2000000000000002</v>
      </c>
      <c r="J59" s="757">
        <v>50</v>
      </c>
      <c r="K59" s="817" t="s">
        <v>205</v>
      </c>
      <c r="L59" s="757">
        <v>2754</v>
      </c>
      <c r="M59" s="757">
        <v>99.72</v>
      </c>
      <c r="N59" s="757">
        <f>ROUND(((D59*E59*2/3600)*(M59/100)),4)</f>
        <v>6.3E-3</v>
      </c>
      <c r="O59" s="757">
        <f>ROUND(((((H59*F59+I59*G59)/1000000)+(0.5*J59*(F59+G59)/1000000))*(M59/100)),5)</f>
        <v>1.31E-3</v>
      </c>
      <c r="P59" s="818"/>
      <c r="Q59" s="780"/>
      <c r="R59" s="814">
        <v>49.097999999999999</v>
      </c>
      <c r="S59" s="814" t="s">
        <v>184</v>
      </c>
      <c r="T59" s="811"/>
    </row>
    <row r="60" spans="1:21" s="819" customFormat="1" ht="15" customHeight="1" x14ac:dyDescent="0.25">
      <c r="A60" s="1598"/>
      <c r="B60" s="1598"/>
      <c r="C60" s="820"/>
      <c r="D60" s="776"/>
      <c r="E60" s="776"/>
      <c r="F60" s="776"/>
      <c r="G60" s="776"/>
      <c r="H60" s="776"/>
      <c r="I60" s="776"/>
      <c r="J60" s="776"/>
      <c r="K60" s="777" t="s">
        <v>185</v>
      </c>
      <c r="L60" s="776" t="s">
        <v>186</v>
      </c>
      <c r="M60" s="776" t="s">
        <v>187</v>
      </c>
      <c r="N60" s="776">
        <f>ROUND(((D59*E59*2/3600)*(M60/100)),5)</f>
        <v>2.0000000000000002E-5</v>
      </c>
      <c r="O60" s="776">
        <f>ROUND(((((H59*F59+I59*G59)/1000000)+(0.5*J59*(F59+G59)/1000000))*(M60/100)),6)</f>
        <v>3.9999999999999998E-6</v>
      </c>
      <c r="P60" s="818"/>
      <c r="Q60" s="780"/>
      <c r="R60" s="815"/>
      <c r="S60" s="811"/>
      <c r="T60" s="811"/>
    </row>
    <row r="61" spans="1:21" s="811" customFormat="1" ht="15" customHeight="1" x14ac:dyDescent="0.25">
      <c r="A61" s="1514" t="s">
        <v>257</v>
      </c>
      <c r="B61" s="1515"/>
      <c r="C61" s="1515"/>
      <c r="D61" s="1515"/>
      <c r="E61" s="1515"/>
      <c r="F61" s="1515"/>
      <c r="G61" s="1515"/>
      <c r="H61" s="1515"/>
      <c r="I61" s="1515"/>
      <c r="J61" s="1515"/>
      <c r="K61" s="1515"/>
      <c r="L61" s="1515"/>
      <c r="M61" s="1515"/>
      <c r="N61" s="1515"/>
      <c r="O61" s="1516"/>
      <c r="P61" s="813"/>
      <c r="Q61" s="814"/>
      <c r="R61" s="815"/>
      <c r="U61" s="822"/>
    </row>
    <row r="62" spans="1:21" s="819" customFormat="1" ht="15" customHeight="1" x14ac:dyDescent="0.25">
      <c r="A62" s="1202">
        <v>7065</v>
      </c>
      <c r="B62" s="1202" t="s">
        <v>181</v>
      </c>
      <c r="C62" s="816" t="s">
        <v>182</v>
      </c>
      <c r="D62" s="757">
        <v>3.6</v>
      </c>
      <c r="E62" s="757">
        <v>3.14</v>
      </c>
      <c r="F62" s="757">
        <v>17.721</v>
      </c>
      <c r="G62" s="757">
        <v>12.682</v>
      </c>
      <c r="H62" s="757">
        <v>1.6</v>
      </c>
      <c r="I62" s="757">
        <v>2.2000000000000002</v>
      </c>
      <c r="J62" s="757">
        <v>50</v>
      </c>
      <c r="K62" s="817" t="s">
        <v>205</v>
      </c>
      <c r="L62" s="757">
        <v>2754</v>
      </c>
      <c r="M62" s="757">
        <v>99.72</v>
      </c>
      <c r="N62" s="757">
        <f>ROUND(((D62*E62*2/3600)*(M62/100)),4)</f>
        <v>6.3E-3</v>
      </c>
      <c r="O62" s="757">
        <f>ROUND(((((H62*F62+I62*G62)/1000000)+(0.5*J62*(F62+G62)/1000000))*(M62/100)),5)</f>
        <v>8.0999999999999996E-4</v>
      </c>
      <c r="P62" s="818"/>
      <c r="Q62" s="780"/>
      <c r="R62" s="814">
        <v>30.402999999999999</v>
      </c>
      <c r="S62" s="814" t="s">
        <v>184</v>
      </c>
      <c r="T62" s="811"/>
    </row>
    <row r="63" spans="1:21" s="819" customFormat="1" ht="15" customHeight="1" x14ac:dyDescent="0.25">
      <c r="A63" s="1598"/>
      <c r="B63" s="1598"/>
      <c r="C63" s="820"/>
      <c r="D63" s="776"/>
      <c r="E63" s="776"/>
      <c r="F63" s="776"/>
      <c r="G63" s="776"/>
      <c r="H63" s="776"/>
      <c r="I63" s="776"/>
      <c r="J63" s="776"/>
      <c r="K63" s="777" t="s">
        <v>185</v>
      </c>
      <c r="L63" s="776" t="s">
        <v>186</v>
      </c>
      <c r="M63" s="776" t="s">
        <v>187</v>
      </c>
      <c r="N63" s="776">
        <f>ROUND(((D62*E62*2/3600)*(M63/100)),5)</f>
        <v>2.0000000000000002E-5</v>
      </c>
      <c r="O63" s="776">
        <f>ROUND(((((H62*F62+I62*G62)/1000000)+(0.5*J62*(F62+G62)/1000000))*(M63/100)),6)</f>
        <v>1.9999999999999999E-6</v>
      </c>
      <c r="P63" s="818"/>
      <c r="Q63" s="780"/>
      <c r="R63" s="815"/>
      <c r="S63" s="811"/>
      <c r="T63" s="811"/>
    </row>
    <row r="64" spans="1:21" s="811" customFormat="1" ht="15" customHeight="1" x14ac:dyDescent="0.25">
      <c r="A64" s="1514" t="s">
        <v>264</v>
      </c>
      <c r="B64" s="1515"/>
      <c r="C64" s="1515"/>
      <c r="D64" s="1515"/>
      <c r="E64" s="1515"/>
      <c r="F64" s="1515"/>
      <c r="G64" s="1515"/>
      <c r="H64" s="1515"/>
      <c r="I64" s="1515"/>
      <c r="J64" s="1515"/>
      <c r="K64" s="1515"/>
      <c r="L64" s="1515"/>
      <c r="M64" s="1515"/>
      <c r="N64" s="1515"/>
      <c r="O64" s="1516"/>
      <c r="P64" s="813"/>
      <c r="Q64" s="814"/>
      <c r="R64" s="815"/>
      <c r="U64" s="821"/>
    </row>
    <row r="65" spans="1:21" s="819" customFormat="1" ht="15" customHeight="1" x14ac:dyDescent="0.25">
      <c r="A65" s="1202">
        <v>7083</v>
      </c>
      <c r="B65" s="1202" t="s">
        <v>181</v>
      </c>
      <c r="C65" s="816" t="s">
        <v>182</v>
      </c>
      <c r="D65" s="757">
        <v>3.6</v>
      </c>
      <c r="E65" s="757">
        <v>3.14</v>
      </c>
      <c r="F65" s="757">
        <v>21.298500000000001</v>
      </c>
      <c r="G65" s="757">
        <v>27.252500000000001</v>
      </c>
      <c r="H65" s="757">
        <v>1.6</v>
      </c>
      <c r="I65" s="757">
        <v>2.2000000000000002</v>
      </c>
      <c r="J65" s="757">
        <v>50</v>
      </c>
      <c r="K65" s="817" t="s">
        <v>205</v>
      </c>
      <c r="L65" s="757">
        <v>2754</v>
      </c>
      <c r="M65" s="757">
        <v>99.72</v>
      </c>
      <c r="N65" s="757">
        <f>ROUND(((D65*E65*2/3600)*(M65/100)),4)</f>
        <v>6.3E-3</v>
      </c>
      <c r="O65" s="757">
        <f>ROUND(((((H65*F65+I65*G65)/1000000)+(0.5*J65*(F65+G65)/1000000))*(M65/100)),5)</f>
        <v>1.2999999999999999E-3</v>
      </c>
      <c r="P65" s="818"/>
      <c r="Q65" s="780"/>
      <c r="R65" s="814">
        <v>48.551000000000002</v>
      </c>
      <c r="S65" s="814" t="s">
        <v>184</v>
      </c>
      <c r="T65" s="811"/>
    </row>
    <row r="66" spans="1:21" s="819" customFormat="1" ht="15" customHeight="1" x14ac:dyDescent="0.25">
      <c r="A66" s="1598"/>
      <c r="B66" s="1598"/>
      <c r="C66" s="820"/>
      <c r="D66" s="776"/>
      <c r="E66" s="776"/>
      <c r="F66" s="776"/>
      <c r="G66" s="776"/>
      <c r="H66" s="776"/>
      <c r="I66" s="776"/>
      <c r="J66" s="776"/>
      <c r="K66" s="777" t="s">
        <v>185</v>
      </c>
      <c r="L66" s="776" t="s">
        <v>186</v>
      </c>
      <c r="M66" s="776" t="s">
        <v>187</v>
      </c>
      <c r="N66" s="776">
        <f>ROUND(((D65*E65*2/3600)*(M66/100)),5)</f>
        <v>2.0000000000000002E-5</v>
      </c>
      <c r="O66" s="776">
        <f>ROUND(((((H65*F65+I65*G65)/1000000)+(0.5*J65*(F65+G65)/1000000))*(M66/100)),6)</f>
        <v>3.9999999999999998E-6</v>
      </c>
      <c r="P66" s="818"/>
      <c r="Q66" s="780"/>
      <c r="R66" s="815"/>
      <c r="S66" s="811"/>
      <c r="T66" s="811"/>
    </row>
    <row r="67" spans="1:21" s="811" customFormat="1" ht="15" customHeight="1" x14ac:dyDescent="0.25">
      <c r="A67" s="1514" t="s">
        <v>276</v>
      </c>
      <c r="B67" s="1515"/>
      <c r="C67" s="1515"/>
      <c r="D67" s="1515"/>
      <c r="E67" s="1515"/>
      <c r="F67" s="1515"/>
      <c r="G67" s="1515"/>
      <c r="H67" s="1515"/>
      <c r="I67" s="1515"/>
      <c r="J67" s="1515"/>
      <c r="K67" s="1515"/>
      <c r="L67" s="1515"/>
      <c r="M67" s="1515"/>
      <c r="N67" s="1515"/>
      <c r="O67" s="1516"/>
      <c r="P67" s="813"/>
      <c r="Q67" s="814"/>
      <c r="R67" s="815"/>
      <c r="U67" s="821"/>
    </row>
    <row r="68" spans="1:21" s="819" customFormat="1" ht="15" customHeight="1" x14ac:dyDescent="0.25">
      <c r="A68" s="1202">
        <v>7088</v>
      </c>
      <c r="B68" s="1202" t="s">
        <v>181</v>
      </c>
      <c r="C68" s="816" t="s">
        <v>182</v>
      </c>
      <c r="D68" s="757">
        <v>3.6</v>
      </c>
      <c r="E68" s="757">
        <v>3.14</v>
      </c>
      <c r="F68" s="757">
        <v>35.348999999999997</v>
      </c>
      <c r="G68" s="757">
        <v>17.562999999999999</v>
      </c>
      <c r="H68" s="757">
        <v>1.6</v>
      </c>
      <c r="I68" s="757">
        <v>2.2000000000000002</v>
      </c>
      <c r="J68" s="757">
        <v>50</v>
      </c>
      <c r="K68" s="817" t="s">
        <v>205</v>
      </c>
      <c r="L68" s="757">
        <v>2754</v>
      </c>
      <c r="M68" s="757">
        <v>99.72</v>
      </c>
      <c r="N68" s="757">
        <f>ROUND(((D68*E68*2/3600)*(M68/100)),4)</f>
        <v>6.3E-3</v>
      </c>
      <c r="O68" s="757">
        <f>ROUND(((((H68*F68+I68*G68)/1000000)+(0.5*J68*(F68+G68)/1000000))*(M68/100)),5)</f>
        <v>1.41E-3</v>
      </c>
      <c r="P68" s="818"/>
      <c r="Q68" s="780"/>
      <c r="R68" s="814">
        <v>52.911999999999999</v>
      </c>
      <c r="S68" s="814" t="s">
        <v>184</v>
      </c>
      <c r="T68" s="811"/>
    </row>
    <row r="69" spans="1:21" s="819" customFormat="1" ht="15" customHeight="1" x14ac:dyDescent="0.25">
      <c r="A69" s="1598"/>
      <c r="B69" s="1598"/>
      <c r="C69" s="820"/>
      <c r="D69" s="776"/>
      <c r="E69" s="776"/>
      <c r="F69" s="776"/>
      <c r="G69" s="776"/>
      <c r="H69" s="776"/>
      <c r="I69" s="776"/>
      <c r="J69" s="776"/>
      <c r="K69" s="777" t="s">
        <v>185</v>
      </c>
      <c r="L69" s="776" t="s">
        <v>186</v>
      </c>
      <c r="M69" s="776" t="s">
        <v>187</v>
      </c>
      <c r="N69" s="776">
        <f>ROUND(((D68*E68*2/3600)*(M69/100)),5)</f>
        <v>2.0000000000000002E-5</v>
      </c>
      <c r="O69" s="776">
        <f>ROUND(((((H68*F68+I68*G68)/1000000)+(0.5*J68*(F68+G68)/1000000))*(M69/100)),6)</f>
        <v>3.9999999999999998E-6</v>
      </c>
      <c r="P69" s="818"/>
      <c r="Q69" s="780"/>
      <c r="R69" s="815"/>
      <c r="S69" s="811"/>
      <c r="T69" s="811"/>
    </row>
    <row r="70" spans="1:21" s="811" customFormat="1" ht="15" customHeight="1" x14ac:dyDescent="0.25">
      <c r="A70" s="1514" t="s">
        <v>284</v>
      </c>
      <c r="B70" s="1515"/>
      <c r="C70" s="1515"/>
      <c r="D70" s="1515"/>
      <c r="E70" s="1515"/>
      <c r="F70" s="1515"/>
      <c r="G70" s="1515"/>
      <c r="H70" s="1515"/>
      <c r="I70" s="1515"/>
      <c r="J70" s="1515"/>
      <c r="K70" s="1515"/>
      <c r="L70" s="1515"/>
      <c r="M70" s="1515"/>
      <c r="N70" s="1515"/>
      <c r="O70" s="1516"/>
      <c r="P70" s="813"/>
      <c r="Q70" s="814"/>
      <c r="R70" s="815"/>
      <c r="U70" s="822"/>
    </row>
    <row r="71" spans="1:21" s="819" customFormat="1" ht="15" customHeight="1" x14ac:dyDescent="0.25">
      <c r="A71" s="1202">
        <v>7095</v>
      </c>
      <c r="B71" s="1202" t="s">
        <v>181</v>
      </c>
      <c r="C71" s="816" t="s">
        <v>182</v>
      </c>
      <c r="D71" s="757">
        <v>3.6</v>
      </c>
      <c r="E71" s="757">
        <v>3.14</v>
      </c>
      <c r="F71" s="757">
        <v>38.589500000000001</v>
      </c>
      <c r="G71" s="757">
        <v>38.589500000000001</v>
      </c>
      <c r="H71" s="757">
        <v>1.6</v>
      </c>
      <c r="I71" s="757">
        <v>2.2000000000000002</v>
      </c>
      <c r="J71" s="757">
        <v>50</v>
      </c>
      <c r="K71" s="817" t="s">
        <v>205</v>
      </c>
      <c r="L71" s="757">
        <v>2754</v>
      </c>
      <c r="M71" s="757">
        <v>99.72</v>
      </c>
      <c r="N71" s="757">
        <f>ROUND(((D71*E71*2/3600)*(M71/100)),4)</f>
        <v>6.3E-3</v>
      </c>
      <c r="O71" s="757">
        <f>ROUND(((((H71*F71+I71*G71)/1000000)+(0.5*J71*(F71+G71)/1000000))*(M71/100)),5)</f>
        <v>2.0699999999999998E-3</v>
      </c>
      <c r="P71" s="818"/>
      <c r="Q71" s="780"/>
      <c r="R71" s="814">
        <v>77.179000000000002</v>
      </c>
      <c r="S71" s="814" t="s">
        <v>184</v>
      </c>
      <c r="T71" s="811"/>
    </row>
    <row r="72" spans="1:21" s="819" customFormat="1" ht="15" customHeight="1" x14ac:dyDescent="0.25">
      <c r="A72" s="1598"/>
      <c r="B72" s="1598"/>
      <c r="C72" s="820"/>
      <c r="D72" s="776"/>
      <c r="E72" s="776"/>
      <c r="F72" s="776"/>
      <c r="G72" s="776"/>
      <c r="H72" s="776"/>
      <c r="I72" s="776"/>
      <c r="J72" s="776"/>
      <c r="K72" s="777" t="s">
        <v>185</v>
      </c>
      <c r="L72" s="776" t="s">
        <v>186</v>
      </c>
      <c r="M72" s="776" t="s">
        <v>187</v>
      </c>
      <c r="N72" s="776">
        <f>ROUND(((D71*E71*2/3600)*(M72/100)),5)</f>
        <v>2.0000000000000002E-5</v>
      </c>
      <c r="O72" s="776">
        <f>ROUND(((((H71*F71+I71*G71)/1000000)+(0.5*J71*(F71+G71)/1000000))*(M72/100)),6)</f>
        <v>6.0000000000000002E-6</v>
      </c>
      <c r="P72" s="818"/>
      <c r="Q72" s="780"/>
      <c r="R72" s="815"/>
      <c r="S72" s="811"/>
      <c r="T72" s="811"/>
    </row>
    <row r="73" spans="1:21" s="811" customFormat="1" ht="15" customHeight="1" x14ac:dyDescent="0.25">
      <c r="A73" s="1514" t="s">
        <v>286</v>
      </c>
      <c r="B73" s="1515"/>
      <c r="C73" s="1515"/>
      <c r="D73" s="1515"/>
      <c r="E73" s="1515"/>
      <c r="F73" s="1515"/>
      <c r="G73" s="1515"/>
      <c r="H73" s="1515"/>
      <c r="I73" s="1515"/>
      <c r="J73" s="1515"/>
      <c r="K73" s="1515"/>
      <c r="L73" s="1515"/>
      <c r="M73" s="1515"/>
      <c r="N73" s="1515"/>
      <c r="O73" s="1516"/>
      <c r="P73" s="813"/>
      <c r="Q73" s="814"/>
      <c r="R73" s="815"/>
      <c r="U73" s="821"/>
    </row>
    <row r="74" spans="1:21" s="819" customFormat="1" ht="15" customHeight="1" x14ac:dyDescent="0.25">
      <c r="A74" s="1202">
        <v>7101</v>
      </c>
      <c r="B74" s="1202" t="s">
        <v>181</v>
      </c>
      <c r="C74" s="816" t="s">
        <v>182</v>
      </c>
      <c r="D74" s="757">
        <v>3.6</v>
      </c>
      <c r="E74" s="757">
        <v>3.14</v>
      </c>
      <c r="F74" s="757">
        <v>10.111000000000001</v>
      </c>
      <c r="G74" s="757">
        <v>17.282</v>
      </c>
      <c r="H74" s="757">
        <v>1.6</v>
      </c>
      <c r="I74" s="757">
        <v>2.2000000000000002</v>
      </c>
      <c r="J74" s="757">
        <v>50</v>
      </c>
      <c r="K74" s="817" t="s">
        <v>205</v>
      </c>
      <c r="L74" s="757">
        <v>2754</v>
      </c>
      <c r="M74" s="757">
        <v>99.72</v>
      </c>
      <c r="N74" s="757">
        <f>ROUND(((D74*E74*2/3600)*(M74/100)),4)</f>
        <v>6.3E-3</v>
      </c>
      <c r="O74" s="757">
        <f>ROUND(((((H74*F74+I74*G74)/1000000)+(0.5*J74*(F74+G74)/1000000))*(M74/100)),5)</f>
        <v>7.3999999999999999E-4</v>
      </c>
      <c r="P74" s="818"/>
      <c r="Q74" s="780"/>
      <c r="R74" s="814">
        <v>27.393000000000001</v>
      </c>
      <c r="S74" s="814" t="s">
        <v>184</v>
      </c>
      <c r="T74" s="811"/>
    </row>
    <row r="75" spans="1:21" s="819" customFormat="1" ht="15" customHeight="1" x14ac:dyDescent="0.25">
      <c r="A75" s="1598"/>
      <c r="B75" s="1598"/>
      <c r="C75" s="820"/>
      <c r="D75" s="776"/>
      <c r="E75" s="776"/>
      <c r="F75" s="776"/>
      <c r="G75" s="776"/>
      <c r="H75" s="776"/>
      <c r="I75" s="776"/>
      <c r="J75" s="776"/>
      <c r="K75" s="777" t="s">
        <v>185</v>
      </c>
      <c r="L75" s="776" t="s">
        <v>186</v>
      </c>
      <c r="M75" s="776" t="s">
        <v>187</v>
      </c>
      <c r="N75" s="776">
        <f>ROUND(((D74*E74*2/3600)*(M75/100)),5)</f>
        <v>2.0000000000000002E-5</v>
      </c>
      <c r="O75" s="776">
        <f>ROUND(((((H74*F74+I74*G74)/1000000)+(0.5*J74*(F74+G74)/1000000))*(M75/100)),6)</f>
        <v>1.9999999999999999E-6</v>
      </c>
      <c r="P75" s="818"/>
      <c r="Q75" s="780"/>
      <c r="R75" s="815"/>
      <c r="S75" s="811"/>
      <c r="T75" s="811"/>
    </row>
    <row r="76" spans="1:21" s="811" customFormat="1" ht="15" customHeight="1" x14ac:dyDescent="0.25">
      <c r="A76" s="1514" t="s">
        <v>201</v>
      </c>
      <c r="B76" s="1515"/>
      <c r="C76" s="1515"/>
      <c r="D76" s="1515"/>
      <c r="E76" s="1515"/>
      <c r="F76" s="1515"/>
      <c r="G76" s="1515"/>
      <c r="H76" s="1515"/>
      <c r="I76" s="1515"/>
      <c r="J76" s="1515"/>
      <c r="K76" s="1515"/>
      <c r="L76" s="1515"/>
      <c r="M76" s="1515"/>
      <c r="N76" s="1515"/>
      <c r="O76" s="1516"/>
      <c r="P76" s="813"/>
      <c r="Q76" s="814"/>
      <c r="R76" s="815"/>
      <c r="U76" s="821"/>
    </row>
    <row r="77" spans="1:21" s="819" customFormat="1" ht="15" customHeight="1" x14ac:dyDescent="0.25">
      <c r="A77" s="1202">
        <v>705202</v>
      </c>
      <c r="B77" s="1202" t="s">
        <v>181</v>
      </c>
      <c r="C77" s="816" t="s">
        <v>182</v>
      </c>
      <c r="D77" s="757">
        <v>3.6</v>
      </c>
      <c r="E77" s="757">
        <v>3.14</v>
      </c>
      <c r="F77" s="757">
        <v>5.4850000000000003</v>
      </c>
      <c r="G77" s="757">
        <v>27.422000000000001</v>
      </c>
      <c r="H77" s="757">
        <v>1.6</v>
      </c>
      <c r="I77" s="757">
        <v>2.2000000000000002</v>
      </c>
      <c r="J77" s="757">
        <v>50</v>
      </c>
      <c r="K77" s="817" t="s">
        <v>205</v>
      </c>
      <c r="L77" s="757">
        <v>2754</v>
      </c>
      <c r="M77" s="757">
        <v>99.72</v>
      </c>
      <c r="N77" s="757">
        <f>ROUND(((D77*E77*2/3600)*(M77/100)),4)</f>
        <v>6.3E-3</v>
      </c>
      <c r="O77" s="757">
        <f>ROUND(((((H77*F77+I77*G77)/1000000)+(0.5*J77*(F77+G77)/1000000))*(M77/100)),5)</f>
        <v>8.8999999999999995E-4</v>
      </c>
      <c r="P77" s="818"/>
      <c r="Q77" s="780"/>
      <c r="R77" s="814">
        <v>32.906999999999996</v>
      </c>
      <c r="S77" s="814" t="s">
        <v>184</v>
      </c>
      <c r="T77" s="811"/>
    </row>
    <row r="78" spans="1:21" s="819" customFormat="1" ht="15" customHeight="1" x14ac:dyDescent="0.3">
      <c r="A78" s="1598"/>
      <c r="B78" s="1598"/>
      <c r="C78" s="820"/>
      <c r="D78" s="776"/>
      <c r="E78" s="776"/>
      <c r="F78" s="776"/>
      <c r="G78" s="776"/>
      <c r="H78" s="776"/>
      <c r="I78" s="776"/>
      <c r="J78" s="776"/>
      <c r="K78" s="777" t="s">
        <v>185</v>
      </c>
      <c r="L78" s="776" t="s">
        <v>186</v>
      </c>
      <c r="M78" s="776" t="s">
        <v>187</v>
      </c>
      <c r="N78" s="776">
        <f>ROUND(((D77*E77*2/3600)*(M78/100)),5)</f>
        <v>2.0000000000000002E-5</v>
      </c>
      <c r="O78" s="776">
        <f>ROUND(((((H77*F77+I77*G77)/1000000)+(0.5*J77*(F77+G77)/1000000))*(M78/100)),6)</f>
        <v>1.9999999999999999E-6</v>
      </c>
      <c r="P78" s="823"/>
      <c r="Q78" s="823"/>
      <c r="R78" s="824"/>
    </row>
    <row r="79" spans="1:21" s="819" customFormat="1" ht="15" customHeight="1" x14ac:dyDescent="0.25">
      <c r="A79" s="1605" t="s">
        <v>1063</v>
      </c>
      <c r="B79" s="1606"/>
      <c r="C79" s="1606"/>
      <c r="D79" s="1606"/>
      <c r="E79" s="1606"/>
      <c r="F79" s="1606"/>
      <c r="G79" s="1606"/>
      <c r="H79" s="1606"/>
      <c r="I79" s="1606"/>
      <c r="J79" s="1606"/>
      <c r="K79" s="1606"/>
      <c r="L79" s="1606"/>
      <c r="M79" s="1606"/>
      <c r="N79" s="1606"/>
      <c r="O79" s="1607"/>
      <c r="P79" s="696"/>
      <c r="Q79" s="696"/>
      <c r="R79" s="825"/>
      <c r="S79" s="822"/>
      <c r="T79" s="822"/>
    </row>
    <row r="80" spans="1:21" s="819" customFormat="1" ht="15" customHeight="1" x14ac:dyDescent="0.25">
      <c r="A80" s="1185">
        <v>7041</v>
      </c>
      <c r="B80" s="1609" t="s">
        <v>181</v>
      </c>
      <c r="C80" s="827" t="s">
        <v>182</v>
      </c>
      <c r="D80" s="826">
        <v>3.6</v>
      </c>
      <c r="E80" s="826">
        <v>3.14</v>
      </c>
      <c r="F80" s="826">
        <v>4.4850000000000003</v>
      </c>
      <c r="G80" s="826">
        <v>26.802</v>
      </c>
      <c r="H80" s="826">
        <v>1.6</v>
      </c>
      <c r="I80" s="826">
        <v>2.2000000000000002</v>
      </c>
      <c r="J80" s="826">
        <v>50</v>
      </c>
      <c r="K80" s="828" t="s">
        <v>205</v>
      </c>
      <c r="L80" s="826">
        <v>2754</v>
      </c>
      <c r="M80" s="826">
        <v>99.72</v>
      </c>
      <c r="N80" s="826">
        <f>ROUND(((D80*E80*2/3600)*(M80/100)),4)</f>
        <v>6.3E-3</v>
      </c>
      <c r="O80" s="826">
        <f>ROUND(((((H80*F80+I80*G80)/1000000)+(0.5*J80*(F80+G80)/1000000))*(M80/100)),5)</f>
        <v>8.4999999999999995E-4</v>
      </c>
      <c r="P80" s="812"/>
      <c r="Q80" s="812"/>
      <c r="R80" s="813">
        <v>31.286999999999999</v>
      </c>
      <c r="S80" s="813" t="s">
        <v>184</v>
      </c>
      <c r="T80" s="821"/>
      <c r="U80" s="821"/>
    </row>
    <row r="81" spans="1:21" s="819" customFormat="1" ht="15" customHeight="1" x14ac:dyDescent="0.2">
      <c r="A81" s="1608"/>
      <c r="B81" s="1610"/>
      <c r="C81" s="830"/>
      <c r="D81" s="829"/>
      <c r="E81" s="829"/>
      <c r="F81" s="829"/>
      <c r="G81" s="829"/>
      <c r="H81" s="829"/>
      <c r="I81" s="829"/>
      <c r="J81" s="829"/>
      <c r="K81" s="831" t="s">
        <v>185</v>
      </c>
      <c r="L81" s="829" t="s">
        <v>186</v>
      </c>
      <c r="M81" s="829" t="s">
        <v>187</v>
      </c>
      <c r="N81" s="829">
        <f>ROUND(((D80*E80*2/3600)*(M81/100)),5)</f>
        <v>2.0000000000000002E-5</v>
      </c>
      <c r="O81" s="829">
        <f>ROUND(((((H80*F80+I80*G80)/1000000)+(0.5*J80*(F80+G80)/1000000))*(M81/100)),6)</f>
        <v>1.9999999999999999E-6</v>
      </c>
      <c r="P81" s="832">
        <f>SUM(N44:N81)</f>
        <v>8.2160000000000011E-2</v>
      </c>
      <c r="Q81" s="833">
        <f>SUM(O44:O81)</f>
        <v>1.8250999999999996E-2</v>
      </c>
      <c r="R81" s="834">
        <v>2026</v>
      </c>
      <c r="S81" s="822"/>
      <c r="T81" s="822"/>
    </row>
    <row r="82" spans="1:21" s="811" customFormat="1" ht="15" customHeight="1" x14ac:dyDescent="0.25">
      <c r="A82" s="1511" t="s">
        <v>11</v>
      </c>
      <c r="B82" s="1512"/>
      <c r="C82" s="1512"/>
      <c r="D82" s="1512"/>
      <c r="E82" s="1512"/>
      <c r="F82" s="1512"/>
      <c r="G82" s="1512"/>
      <c r="H82" s="1512"/>
      <c r="I82" s="1512"/>
      <c r="J82" s="1512"/>
      <c r="K82" s="1512"/>
      <c r="L82" s="1512"/>
      <c r="M82" s="1512"/>
      <c r="N82" s="1512"/>
      <c r="O82" s="1513"/>
      <c r="P82" s="813"/>
      <c r="Q82" s="813"/>
      <c r="R82" s="835"/>
      <c r="S82" s="821"/>
      <c r="T82" s="821"/>
      <c r="U82" s="821"/>
    </row>
    <row r="83" spans="1:21" s="811" customFormat="1" ht="15" customHeight="1" x14ac:dyDescent="0.25">
      <c r="A83" s="1514" t="s">
        <v>8</v>
      </c>
      <c r="B83" s="1515"/>
      <c r="C83" s="1515"/>
      <c r="D83" s="1515"/>
      <c r="E83" s="1515"/>
      <c r="F83" s="1515"/>
      <c r="G83" s="1515"/>
      <c r="H83" s="1515"/>
      <c r="I83" s="1515"/>
      <c r="J83" s="1515"/>
      <c r="K83" s="1515"/>
      <c r="L83" s="1515"/>
      <c r="M83" s="1515"/>
      <c r="N83" s="1515"/>
      <c r="O83" s="1516"/>
      <c r="P83" s="813"/>
      <c r="Q83" s="813"/>
      <c r="R83" s="825"/>
      <c r="S83" s="822"/>
      <c r="T83" s="822"/>
    </row>
    <row r="84" spans="1:21" s="811" customFormat="1" ht="15" customHeight="1" x14ac:dyDescent="0.25">
      <c r="A84" s="1202">
        <v>7008</v>
      </c>
      <c r="B84" s="1202" t="s">
        <v>181</v>
      </c>
      <c r="C84" s="816" t="s">
        <v>182</v>
      </c>
      <c r="D84" s="757">
        <v>3.6</v>
      </c>
      <c r="E84" s="757">
        <v>3.14</v>
      </c>
      <c r="F84" s="757">
        <v>84.165000000000006</v>
      </c>
      <c r="G84" s="757">
        <v>84.165000000000006</v>
      </c>
      <c r="H84" s="757">
        <v>1.6</v>
      </c>
      <c r="I84" s="757">
        <v>2.2000000000000002</v>
      </c>
      <c r="J84" s="757">
        <v>50</v>
      </c>
      <c r="K84" s="817" t="s">
        <v>205</v>
      </c>
      <c r="L84" s="757">
        <v>2754</v>
      </c>
      <c r="M84" s="757">
        <v>99.72</v>
      </c>
      <c r="N84" s="757">
        <f>ROUND(((D84*E84*2/3600)*(M84/100)),4)</f>
        <v>6.3E-3</v>
      </c>
      <c r="O84" s="757">
        <f>ROUND(((((H84*F84+I84*G84)/1000000)+(0.5*J84*(F84+G84)/1000000))*(M84/100)),5)</f>
        <v>4.5199999999999997E-3</v>
      </c>
      <c r="P84" s="812"/>
      <c r="Q84" s="812"/>
      <c r="R84" s="813">
        <v>168.33</v>
      </c>
      <c r="S84" s="813" t="s">
        <v>184</v>
      </c>
      <c r="T84" s="821"/>
    </row>
    <row r="85" spans="1:21" s="811" customFormat="1" ht="15" customHeight="1" x14ac:dyDescent="0.25">
      <c r="A85" s="1598"/>
      <c r="B85" s="1598"/>
      <c r="C85" s="820"/>
      <c r="D85" s="776"/>
      <c r="E85" s="776"/>
      <c r="F85" s="776"/>
      <c r="G85" s="776"/>
      <c r="H85" s="776"/>
      <c r="I85" s="776"/>
      <c r="J85" s="776"/>
      <c r="K85" s="777" t="s">
        <v>185</v>
      </c>
      <c r="L85" s="776" t="s">
        <v>186</v>
      </c>
      <c r="M85" s="776" t="s">
        <v>187</v>
      </c>
      <c r="N85" s="776">
        <f>ROUND(((D84*E84*2/3600)*(M85/100)),5)</f>
        <v>2.0000000000000002E-5</v>
      </c>
      <c r="O85" s="776">
        <f>ROUND(((((H84*F84+I84*G84)/1000000)+(0.5*J84*(F84+G84)/1000000))*(M85/100)),6)</f>
        <v>1.2999999999999999E-5</v>
      </c>
      <c r="P85" s="812"/>
      <c r="Q85" s="812"/>
      <c r="R85" s="835"/>
      <c r="S85" s="821"/>
      <c r="T85" s="821"/>
    </row>
    <row r="86" spans="1:21" s="811" customFormat="1" ht="15" customHeight="1" x14ac:dyDescent="0.25">
      <c r="A86" s="1514" t="s">
        <v>204</v>
      </c>
      <c r="B86" s="1515"/>
      <c r="C86" s="1515"/>
      <c r="D86" s="1515"/>
      <c r="E86" s="1515"/>
      <c r="F86" s="1515"/>
      <c r="G86" s="1515"/>
      <c r="H86" s="1515"/>
      <c r="I86" s="1515"/>
      <c r="J86" s="1515"/>
      <c r="K86" s="1515"/>
      <c r="L86" s="1515"/>
      <c r="M86" s="1515"/>
      <c r="N86" s="1515"/>
      <c r="O86" s="1516"/>
      <c r="P86" s="813"/>
      <c r="Q86" s="813"/>
      <c r="R86" s="835"/>
      <c r="S86" s="821"/>
      <c r="T86" s="821"/>
    </row>
    <row r="87" spans="1:21" s="811" customFormat="1" ht="15" customHeight="1" x14ac:dyDescent="0.25">
      <c r="A87" s="1202">
        <v>7013</v>
      </c>
      <c r="B87" s="1202" t="s">
        <v>181</v>
      </c>
      <c r="C87" s="816" t="s">
        <v>182</v>
      </c>
      <c r="D87" s="757">
        <v>3.6</v>
      </c>
      <c r="E87" s="757">
        <v>3.14</v>
      </c>
      <c r="F87" s="757">
        <v>24.731999999999999</v>
      </c>
      <c r="G87" s="757">
        <v>24.731999999999999</v>
      </c>
      <c r="H87" s="757">
        <v>1.6</v>
      </c>
      <c r="I87" s="757">
        <v>2.2000000000000002</v>
      </c>
      <c r="J87" s="757">
        <v>50</v>
      </c>
      <c r="K87" s="817" t="s">
        <v>205</v>
      </c>
      <c r="L87" s="757">
        <v>2754</v>
      </c>
      <c r="M87" s="757">
        <v>99.72</v>
      </c>
      <c r="N87" s="757">
        <f>ROUND(((D87*E87*2/3600)*(M87/100)),4)</f>
        <v>6.3E-3</v>
      </c>
      <c r="O87" s="757">
        <f>ROUND(((((H87*F87+I87*G87)/1000000)+(0.5*J87*(F87+G87)/1000000))*(M87/100)),5)</f>
        <v>1.33E-3</v>
      </c>
      <c r="P87" s="812"/>
      <c r="Q87" s="812"/>
      <c r="R87" s="813">
        <v>49.463999999999999</v>
      </c>
      <c r="S87" s="813" t="s">
        <v>184</v>
      </c>
      <c r="T87" s="821"/>
    </row>
    <row r="88" spans="1:21" s="811" customFormat="1" ht="15" customHeight="1" x14ac:dyDescent="0.25">
      <c r="A88" s="1598"/>
      <c r="B88" s="1598"/>
      <c r="C88" s="820"/>
      <c r="D88" s="776"/>
      <c r="E88" s="776"/>
      <c r="F88" s="776"/>
      <c r="G88" s="776"/>
      <c r="H88" s="776"/>
      <c r="I88" s="776"/>
      <c r="J88" s="776"/>
      <c r="K88" s="777" t="s">
        <v>185</v>
      </c>
      <c r="L88" s="776" t="s">
        <v>186</v>
      </c>
      <c r="M88" s="776" t="s">
        <v>187</v>
      </c>
      <c r="N88" s="776">
        <f>ROUND(((D87*E87*2/3600)*(M88/100)),5)</f>
        <v>2.0000000000000002E-5</v>
      </c>
      <c r="O88" s="776">
        <f>ROUND(((((H87*F87+I87*G87)/1000000)+(0.5*J87*(F87+G87)/1000000))*(M88/100)),6)</f>
        <v>3.9999999999999998E-6</v>
      </c>
      <c r="P88" s="812"/>
      <c r="Q88" s="812"/>
      <c r="R88" s="825"/>
      <c r="S88" s="822"/>
      <c r="T88" s="822"/>
    </row>
    <row r="89" spans="1:21" s="811" customFormat="1" ht="15" customHeight="1" x14ac:dyDescent="0.25">
      <c r="A89" s="1514" t="s">
        <v>210</v>
      </c>
      <c r="B89" s="1515"/>
      <c r="C89" s="1515"/>
      <c r="D89" s="1515"/>
      <c r="E89" s="1515"/>
      <c r="F89" s="1515"/>
      <c r="G89" s="1515"/>
      <c r="H89" s="1515"/>
      <c r="I89" s="1515"/>
      <c r="J89" s="1515"/>
      <c r="K89" s="1515"/>
      <c r="L89" s="1515"/>
      <c r="M89" s="1515"/>
      <c r="N89" s="1515"/>
      <c r="O89" s="1516"/>
      <c r="P89" s="814"/>
      <c r="Q89" s="814"/>
      <c r="R89" s="825"/>
      <c r="S89" s="822"/>
      <c r="T89" s="822"/>
    </row>
    <row r="90" spans="1:21" s="811" customFormat="1" ht="15" customHeight="1" x14ac:dyDescent="0.25">
      <c r="A90" s="1202">
        <v>7018</v>
      </c>
      <c r="B90" s="1202" t="s">
        <v>181</v>
      </c>
      <c r="C90" s="816" t="s">
        <v>182</v>
      </c>
      <c r="D90" s="757">
        <v>3.6</v>
      </c>
      <c r="E90" s="757">
        <v>3.14</v>
      </c>
      <c r="F90" s="757">
        <v>18.221499999999999</v>
      </c>
      <c r="G90" s="757">
        <v>18.221499999999999</v>
      </c>
      <c r="H90" s="757">
        <v>1.6</v>
      </c>
      <c r="I90" s="757">
        <v>2.2000000000000002</v>
      </c>
      <c r="J90" s="757">
        <v>50</v>
      </c>
      <c r="K90" s="817" t="s">
        <v>205</v>
      </c>
      <c r="L90" s="757">
        <v>2754</v>
      </c>
      <c r="M90" s="757">
        <v>99.72</v>
      </c>
      <c r="N90" s="757">
        <f>ROUND(((D90*E90*2/3600)*(M90/100)),4)</f>
        <v>6.3E-3</v>
      </c>
      <c r="O90" s="757">
        <f>ROUND(((((H90*F90+I90*G90)/1000000)+(0.5*J90*(F90+G90)/1000000))*(M90/100)),5)</f>
        <v>9.7999999999999997E-4</v>
      </c>
      <c r="P90" s="780"/>
      <c r="Q90" s="780"/>
      <c r="R90" s="814">
        <v>36.442999999999998</v>
      </c>
      <c r="S90" s="814" t="s">
        <v>184</v>
      </c>
    </row>
    <row r="91" spans="1:21" s="811" customFormat="1" ht="15" customHeight="1" x14ac:dyDescent="0.25">
      <c r="A91" s="1598"/>
      <c r="B91" s="1598"/>
      <c r="C91" s="820"/>
      <c r="D91" s="776"/>
      <c r="E91" s="776"/>
      <c r="F91" s="776"/>
      <c r="G91" s="776"/>
      <c r="H91" s="776"/>
      <c r="I91" s="776"/>
      <c r="J91" s="776"/>
      <c r="K91" s="777" t="s">
        <v>185</v>
      </c>
      <c r="L91" s="776" t="s">
        <v>186</v>
      </c>
      <c r="M91" s="776" t="s">
        <v>187</v>
      </c>
      <c r="N91" s="776">
        <f>ROUND(((D90*E90*2/3600)*(M91/100)),5)</f>
        <v>2.0000000000000002E-5</v>
      </c>
      <c r="O91" s="776">
        <f>ROUND(((((H90*F90+I90*G90)/1000000)+(0.5*J90*(F90+G90)/1000000))*(M91/100)),6)</f>
        <v>3.0000000000000001E-6</v>
      </c>
      <c r="P91" s="780"/>
      <c r="Q91" s="780"/>
      <c r="R91" s="825"/>
      <c r="S91" s="822"/>
      <c r="T91" s="822"/>
    </row>
    <row r="92" spans="1:21" s="811" customFormat="1" ht="15" customHeight="1" x14ac:dyDescent="0.25">
      <c r="A92" s="1514" t="s">
        <v>213</v>
      </c>
      <c r="B92" s="1515"/>
      <c r="C92" s="1515"/>
      <c r="D92" s="1515"/>
      <c r="E92" s="1515"/>
      <c r="F92" s="1515"/>
      <c r="G92" s="1515"/>
      <c r="H92" s="1515"/>
      <c r="I92" s="1515"/>
      <c r="J92" s="1515"/>
      <c r="K92" s="1515"/>
      <c r="L92" s="1515"/>
      <c r="M92" s="1515"/>
      <c r="N92" s="1515"/>
      <c r="O92" s="1516"/>
      <c r="P92" s="813"/>
      <c r="Q92" s="813"/>
      <c r="R92" s="825"/>
      <c r="S92" s="822"/>
      <c r="T92" s="822"/>
    </row>
    <row r="93" spans="1:21" s="811" customFormat="1" ht="15" customHeight="1" x14ac:dyDescent="0.25">
      <c r="A93" s="1202">
        <v>7024</v>
      </c>
      <c r="B93" s="1202" t="s">
        <v>181</v>
      </c>
      <c r="C93" s="816" t="s">
        <v>182</v>
      </c>
      <c r="D93" s="757">
        <v>3.6</v>
      </c>
      <c r="E93" s="757">
        <v>3.14</v>
      </c>
      <c r="F93" s="757">
        <v>31.197500000000002</v>
      </c>
      <c r="G93" s="757">
        <v>31.197500000000002</v>
      </c>
      <c r="H93" s="757">
        <v>1.6</v>
      </c>
      <c r="I93" s="757">
        <v>2.2000000000000002</v>
      </c>
      <c r="J93" s="757">
        <v>50</v>
      </c>
      <c r="K93" s="817" t="s">
        <v>205</v>
      </c>
      <c r="L93" s="757">
        <v>2754</v>
      </c>
      <c r="M93" s="757">
        <v>99.72</v>
      </c>
      <c r="N93" s="757">
        <f>ROUND(((D93*E93*2/3600)*(M93/100)),4)</f>
        <v>6.3E-3</v>
      </c>
      <c r="O93" s="757">
        <f>ROUND(((((H93*F93+I93*G93)/1000000)+(0.5*J93*(F93+G93)/1000000))*(M93/100)),5)</f>
        <v>1.67E-3</v>
      </c>
      <c r="P93" s="812"/>
      <c r="Q93" s="812"/>
      <c r="R93" s="813">
        <v>62.395000000000003</v>
      </c>
      <c r="S93" s="813" t="s">
        <v>184</v>
      </c>
      <c r="T93" s="821"/>
    </row>
    <row r="94" spans="1:21" s="811" customFormat="1" ht="15" customHeight="1" x14ac:dyDescent="0.25">
      <c r="A94" s="1598"/>
      <c r="B94" s="1598"/>
      <c r="C94" s="820"/>
      <c r="D94" s="776"/>
      <c r="E94" s="776"/>
      <c r="F94" s="776"/>
      <c r="G94" s="776"/>
      <c r="H94" s="776"/>
      <c r="I94" s="776"/>
      <c r="J94" s="776"/>
      <c r="K94" s="777" t="s">
        <v>185</v>
      </c>
      <c r="L94" s="776" t="s">
        <v>186</v>
      </c>
      <c r="M94" s="776" t="s">
        <v>187</v>
      </c>
      <c r="N94" s="776">
        <f>ROUND(((D93*E93*2/3600)*(M94/100)),5)</f>
        <v>2.0000000000000002E-5</v>
      </c>
      <c r="O94" s="776">
        <f>ROUND(((((H93*F93+I93*G93)/1000000)+(0.5*J93*(F93+G93)/1000000))*(M94/100)),6)</f>
        <v>5.0000000000000004E-6</v>
      </c>
      <c r="P94" s="812"/>
      <c r="Q94" s="812"/>
      <c r="R94" s="835"/>
      <c r="S94" s="821"/>
      <c r="T94" s="821"/>
    </row>
    <row r="95" spans="1:21" s="811" customFormat="1" ht="15" customHeight="1" x14ac:dyDescent="0.25">
      <c r="A95" s="1514" t="s">
        <v>215</v>
      </c>
      <c r="B95" s="1515"/>
      <c r="C95" s="1515"/>
      <c r="D95" s="1515"/>
      <c r="E95" s="1515"/>
      <c r="F95" s="1515"/>
      <c r="G95" s="1515"/>
      <c r="H95" s="1515"/>
      <c r="I95" s="1515"/>
      <c r="J95" s="1515"/>
      <c r="K95" s="1515"/>
      <c r="L95" s="1515"/>
      <c r="M95" s="1515"/>
      <c r="N95" s="1515"/>
      <c r="O95" s="1516"/>
      <c r="P95" s="813"/>
      <c r="Q95" s="813"/>
      <c r="R95" s="825"/>
      <c r="S95" s="822"/>
      <c r="T95" s="822"/>
    </row>
    <row r="96" spans="1:21" s="811" customFormat="1" ht="15" customHeight="1" x14ac:dyDescent="0.25">
      <c r="A96" s="1202">
        <v>7031</v>
      </c>
      <c r="B96" s="1202" t="s">
        <v>181</v>
      </c>
      <c r="C96" s="816" t="s">
        <v>182</v>
      </c>
      <c r="D96" s="757">
        <v>3.6</v>
      </c>
      <c r="E96" s="757">
        <v>3.14</v>
      </c>
      <c r="F96" s="757">
        <v>97.292000000000002</v>
      </c>
      <c r="G96" s="757">
        <v>97.292000000000002</v>
      </c>
      <c r="H96" s="757">
        <v>1.6</v>
      </c>
      <c r="I96" s="757">
        <v>2.2000000000000002</v>
      </c>
      <c r="J96" s="757">
        <v>50</v>
      </c>
      <c r="K96" s="817" t="s">
        <v>205</v>
      </c>
      <c r="L96" s="757">
        <v>2754</v>
      </c>
      <c r="M96" s="757">
        <v>99.72</v>
      </c>
      <c r="N96" s="757">
        <f>ROUND(((D96*E96*2/3600)*(M96/100)),4)</f>
        <v>6.3E-3</v>
      </c>
      <c r="O96" s="757">
        <f>ROUND(((((H96*F96+I96*G96)/1000000)+(0.5*J96*(F96+G96)/1000000))*(M96/100)),5)</f>
        <v>5.2199999999999998E-3</v>
      </c>
      <c r="P96" s="812"/>
      <c r="Q96" s="812"/>
      <c r="R96" s="813">
        <v>194.584</v>
      </c>
      <c r="S96" s="813" t="s">
        <v>184</v>
      </c>
      <c r="T96" s="821"/>
    </row>
    <row r="97" spans="1:21" s="811" customFormat="1" ht="15" customHeight="1" x14ac:dyDescent="0.25">
      <c r="A97" s="1598"/>
      <c r="B97" s="1598"/>
      <c r="C97" s="820"/>
      <c r="D97" s="776"/>
      <c r="E97" s="776"/>
      <c r="F97" s="776"/>
      <c r="G97" s="776"/>
      <c r="H97" s="776"/>
      <c r="I97" s="776"/>
      <c r="J97" s="776"/>
      <c r="K97" s="777" t="s">
        <v>185</v>
      </c>
      <c r="L97" s="776" t="s">
        <v>186</v>
      </c>
      <c r="M97" s="776" t="s">
        <v>187</v>
      </c>
      <c r="N97" s="776">
        <f>ROUND(((D96*E96*2/3600)*(M97/100)),5)</f>
        <v>2.0000000000000002E-5</v>
      </c>
      <c r="O97" s="776">
        <f>ROUND(((((H96*F96+I96*G96)/1000000)+(0.5*J96*(F96+G96)/1000000))*(M97/100)),6)</f>
        <v>1.5E-5</v>
      </c>
      <c r="P97" s="812"/>
      <c r="Q97" s="812"/>
      <c r="R97" s="835"/>
      <c r="S97" s="821"/>
      <c r="T97" s="821"/>
    </row>
    <row r="98" spans="1:21" s="811" customFormat="1" ht="15" customHeight="1" x14ac:dyDescent="0.25">
      <c r="A98" s="1514" t="s">
        <v>232</v>
      </c>
      <c r="B98" s="1515"/>
      <c r="C98" s="1515"/>
      <c r="D98" s="1515"/>
      <c r="E98" s="1515"/>
      <c r="F98" s="1515"/>
      <c r="G98" s="1515"/>
      <c r="H98" s="1515"/>
      <c r="I98" s="1515"/>
      <c r="J98" s="1515"/>
      <c r="K98" s="1515"/>
      <c r="L98" s="1515"/>
      <c r="M98" s="1515"/>
      <c r="N98" s="1515"/>
      <c r="O98" s="1516"/>
      <c r="P98" s="813"/>
      <c r="Q98" s="813"/>
      <c r="R98" s="825"/>
      <c r="S98" s="822"/>
      <c r="T98" s="822"/>
    </row>
    <row r="99" spans="1:21" s="811" customFormat="1" ht="15" customHeight="1" x14ac:dyDescent="0.25">
      <c r="A99" s="1202">
        <v>7035</v>
      </c>
      <c r="B99" s="1202" t="s">
        <v>181</v>
      </c>
      <c r="C99" s="816" t="s">
        <v>182</v>
      </c>
      <c r="D99" s="757">
        <v>3.6</v>
      </c>
      <c r="E99" s="757">
        <v>3.14</v>
      </c>
      <c r="F99" s="757">
        <v>27.536999999999999</v>
      </c>
      <c r="G99" s="757">
        <v>11.888</v>
      </c>
      <c r="H99" s="757">
        <v>1.6</v>
      </c>
      <c r="I99" s="757">
        <v>2.2000000000000002</v>
      </c>
      <c r="J99" s="757">
        <v>50</v>
      </c>
      <c r="K99" s="817" t="s">
        <v>205</v>
      </c>
      <c r="L99" s="757">
        <v>2754</v>
      </c>
      <c r="M99" s="757">
        <v>99.72</v>
      </c>
      <c r="N99" s="757">
        <f>ROUND(((D99*E99*2/3600)*(M99/100)),4)</f>
        <v>6.3E-3</v>
      </c>
      <c r="O99" s="757">
        <f>ROUND(((((H99*F99+I99*G99)/1000000)+(0.5*J99*(F99+G99)/1000000))*(M99/100)),5)</f>
        <v>1.0499999999999999E-3</v>
      </c>
      <c r="P99" s="812"/>
      <c r="Q99" s="812"/>
      <c r="R99" s="813">
        <v>39.424999999999997</v>
      </c>
      <c r="S99" s="813" t="s">
        <v>184</v>
      </c>
      <c r="T99" s="821"/>
      <c r="U99" s="821"/>
    </row>
    <row r="100" spans="1:21" s="811" customFormat="1" ht="15" customHeight="1" x14ac:dyDescent="0.25">
      <c r="A100" s="1598"/>
      <c r="B100" s="1598"/>
      <c r="C100" s="820"/>
      <c r="D100" s="776"/>
      <c r="E100" s="776"/>
      <c r="F100" s="776"/>
      <c r="G100" s="776"/>
      <c r="H100" s="776"/>
      <c r="I100" s="776"/>
      <c r="J100" s="776"/>
      <c r="K100" s="777" t="s">
        <v>185</v>
      </c>
      <c r="L100" s="776" t="s">
        <v>186</v>
      </c>
      <c r="M100" s="776" t="s">
        <v>187</v>
      </c>
      <c r="N100" s="776">
        <f>ROUND(((D99*E99*2/3600)*(M100/100)),5)</f>
        <v>2.0000000000000002E-5</v>
      </c>
      <c r="O100" s="776">
        <f>ROUND(((((H99*F99+I99*G99)/1000000)+(0.5*J99*(F99+G99)/1000000))*(M100/100)),6)</f>
        <v>3.0000000000000001E-6</v>
      </c>
      <c r="P100" s="812"/>
      <c r="Q100" s="812"/>
      <c r="R100" s="835"/>
      <c r="S100" s="821"/>
      <c r="T100" s="821"/>
      <c r="U100" s="821"/>
    </row>
    <row r="101" spans="1:21" s="811" customFormat="1" ht="15" customHeight="1" x14ac:dyDescent="0.25">
      <c r="A101" s="1514" t="s">
        <v>233</v>
      </c>
      <c r="B101" s="1515"/>
      <c r="C101" s="1515"/>
      <c r="D101" s="1515"/>
      <c r="E101" s="1515"/>
      <c r="F101" s="1515"/>
      <c r="G101" s="1515"/>
      <c r="H101" s="1515"/>
      <c r="I101" s="1515"/>
      <c r="J101" s="1515"/>
      <c r="K101" s="1515"/>
      <c r="L101" s="1515"/>
      <c r="M101" s="1515"/>
      <c r="N101" s="1515"/>
      <c r="O101" s="1516"/>
      <c r="P101" s="813"/>
      <c r="Q101" s="813"/>
      <c r="R101" s="825"/>
      <c r="S101" s="822"/>
      <c r="T101" s="822"/>
      <c r="U101" s="821"/>
    </row>
    <row r="102" spans="1:21" s="811" customFormat="1" ht="15" customHeight="1" x14ac:dyDescent="0.25">
      <c r="A102" s="1202">
        <v>7042</v>
      </c>
      <c r="B102" s="1202" t="s">
        <v>181</v>
      </c>
      <c r="C102" s="816" t="s">
        <v>182</v>
      </c>
      <c r="D102" s="757">
        <v>3.6</v>
      </c>
      <c r="E102" s="757">
        <v>3.14</v>
      </c>
      <c r="F102" s="757">
        <v>17.653500000000001</v>
      </c>
      <c r="G102" s="757">
        <v>22.9175</v>
      </c>
      <c r="H102" s="757">
        <v>1.6</v>
      </c>
      <c r="I102" s="757">
        <v>2.2000000000000002</v>
      </c>
      <c r="J102" s="757">
        <v>50</v>
      </c>
      <c r="K102" s="817" t="s">
        <v>205</v>
      </c>
      <c r="L102" s="757">
        <v>2754</v>
      </c>
      <c r="M102" s="757">
        <v>99.72</v>
      </c>
      <c r="N102" s="757">
        <f>ROUND(((D102*E102*2/3600)*(M102/100)),4)</f>
        <v>6.3E-3</v>
      </c>
      <c r="O102" s="757">
        <f>ROUND(((((H102*F102+I102*G102)/1000000)+(0.5*J102*(F102+G102)/1000000))*(M102/100)),5)</f>
        <v>1.09E-3</v>
      </c>
      <c r="P102" s="812"/>
      <c r="Q102" s="812"/>
      <c r="R102" s="813">
        <v>40.570999999999998</v>
      </c>
      <c r="S102" s="813" t="s">
        <v>184</v>
      </c>
      <c r="T102" s="821"/>
      <c r="U102" s="821"/>
    </row>
    <row r="103" spans="1:21" s="811" customFormat="1" ht="15" customHeight="1" x14ac:dyDescent="0.25">
      <c r="A103" s="1598"/>
      <c r="B103" s="1598"/>
      <c r="C103" s="820"/>
      <c r="D103" s="776"/>
      <c r="E103" s="776"/>
      <c r="F103" s="776"/>
      <c r="G103" s="776"/>
      <c r="H103" s="776"/>
      <c r="I103" s="776"/>
      <c r="J103" s="776"/>
      <c r="K103" s="777" t="s">
        <v>185</v>
      </c>
      <c r="L103" s="776" t="s">
        <v>186</v>
      </c>
      <c r="M103" s="776" t="s">
        <v>187</v>
      </c>
      <c r="N103" s="776">
        <f>ROUND(((D102*E102*2/3600)*(M103/100)),5)</f>
        <v>2.0000000000000002E-5</v>
      </c>
      <c r="O103" s="776">
        <f>ROUND(((((H102*F102+I102*G102)/1000000)+(0.5*J102*(F102+G102)/1000000))*(M103/100)),6)</f>
        <v>3.0000000000000001E-6</v>
      </c>
      <c r="P103" s="812"/>
      <c r="Q103" s="812"/>
      <c r="R103" s="835"/>
      <c r="S103" s="822"/>
      <c r="T103" s="822"/>
      <c r="U103" s="821"/>
    </row>
    <row r="104" spans="1:21" s="811" customFormat="1" ht="15" customHeight="1" x14ac:dyDescent="0.25">
      <c r="A104" s="1514" t="s">
        <v>244</v>
      </c>
      <c r="B104" s="1515"/>
      <c r="C104" s="1515"/>
      <c r="D104" s="1515"/>
      <c r="E104" s="1515"/>
      <c r="F104" s="1515"/>
      <c r="G104" s="1515"/>
      <c r="H104" s="1515"/>
      <c r="I104" s="1515"/>
      <c r="J104" s="1515"/>
      <c r="K104" s="1515"/>
      <c r="L104" s="1515"/>
      <c r="M104" s="1515"/>
      <c r="N104" s="1515"/>
      <c r="O104" s="1516"/>
      <c r="P104" s="813"/>
      <c r="Q104" s="813"/>
      <c r="R104" s="825"/>
      <c r="S104" s="822"/>
      <c r="T104" s="822"/>
      <c r="U104" s="821"/>
    </row>
    <row r="105" spans="1:21" s="811" customFormat="1" ht="15" customHeight="1" x14ac:dyDescent="0.25">
      <c r="A105" s="1202">
        <v>7053</v>
      </c>
      <c r="B105" s="1202" t="s">
        <v>181</v>
      </c>
      <c r="C105" s="816" t="s">
        <v>182</v>
      </c>
      <c r="D105" s="757">
        <v>3.6</v>
      </c>
      <c r="E105" s="757">
        <v>3.14</v>
      </c>
      <c r="F105" s="757">
        <v>8.0984999999999996</v>
      </c>
      <c r="G105" s="757">
        <v>17.945499999999999</v>
      </c>
      <c r="H105" s="757">
        <v>1.6</v>
      </c>
      <c r="I105" s="757">
        <v>2.2000000000000002</v>
      </c>
      <c r="J105" s="757">
        <v>50</v>
      </c>
      <c r="K105" s="817" t="s">
        <v>205</v>
      </c>
      <c r="L105" s="757">
        <v>2754</v>
      </c>
      <c r="M105" s="757">
        <v>99.72</v>
      </c>
      <c r="N105" s="757">
        <f>ROUND(((D105*E105*2/3600)*(M105/100)),4)</f>
        <v>6.3E-3</v>
      </c>
      <c r="O105" s="757">
        <f>ROUND(((((H105*F105+I105*G105)/1000000)+(0.5*J105*(F105+G105)/1000000))*(M105/100)),5)</f>
        <v>6.9999999999999999E-4</v>
      </c>
      <c r="P105" s="812"/>
      <c r="Q105" s="812"/>
      <c r="R105" s="813">
        <v>26.044</v>
      </c>
      <c r="S105" s="813" t="s">
        <v>184</v>
      </c>
      <c r="T105" s="821"/>
      <c r="U105" s="821"/>
    </row>
    <row r="106" spans="1:21" s="811" customFormat="1" ht="15" customHeight="1" x14ac:dyDescent="0.25">
      <c r="A106" s="1598"/>
      <c r="B106" s="1598"/>
      <c r="C106" s="820"/>
      <c r="D106" s="776"/>
      <c r="E106" s="776"/>
      <c r="F106" s="776"/>
      <c r="G106" s="776"/>
      <c r="H106" s="776"/>
      <c r="I106" s="776"/>
      <c r="J106" s="776"/>
      <c r="K106" s="777" t="s">
        <v>185</v>
      </c>
      <c r="L106" s="776" t="s">
        <v>186</v>
      </c>
      <c r="M106" s="776" t="s">
        <v>187</v>
      </c>
      <c r="N106" s="776">
        <f>ROUND(((D105*E105*2/3600)*(M106/100)),5)</f>
        <v>2.0000000000000002E-5</v>
      </c>
      <c r="O106" s="776">
        <f>ROUND(((((H105*F105+I105*G105)/1000000)+(0.5*J105*(F105+G105)/1000000))*(M106/100)),6)</f>
        <v>1.9999999999999999E-6</v>
      </c>
      <c r="P106" s="812"/>
      <c r="Q106" s="812"/>
      <c r="R106" s="835"/>
      <c r="S106" s="821"/>
      <c r="T106" s="821"/>
      <c r="U106" s="821"/>
    </row>
    <row r="107" spans="1:21" s="811" customFormat="1" ht="15" customHeight="1" x14ac:dyDescent="0.25">
      <c r="A107" s="1514" t="s">
        <v>257</v>
      </c>
      <c r="B107" s="1515"/>
      <c r="C107" s="1515"/>
      <c r="D107" s="1515"/>
      <c r="E107" s="1515"/>
      <c r="F107" s="1515"/>
      <c r="G107" s="1515"/>
      <c r="H107" s="1515"/>
      <c r="I107" s="1515"/>
      <c r="J107" s="1515"/>
      <c r="K107" s="1515"/>
      <c r="L107" s="1515"/>
      <c r="M107" s="1515"/>
      <c r="N107" s="1515"/>
      <c r="O107" s="1516"/>
      <c r="P107" s="813"/>
      <c r="Q107" s="813"/>
      <c r="R107" s="825"/>
      <c r="S107" s="822"/>
      <c r="T107" s="822"/>
      <c r="U107" s="821"/>
    </row>
    <row r="108" spans="1:21" s="811" customFormat="1" ht="15" customHeight="1" x14ac:dyDescent="0.25">
      <c r="A108" s="1202">
        <v>7065</v>
      </c>
      <c r="B108" s="1202" t="s">
        <v>181</v>
      </c>
      <c r="C108" s="816" t="s">
        <v>182</v>
      </c>
      <c r="D108" s="757">
        <v>3.6</v>
      </c>
      <c r="E108" s="757">
        <v>3.14</v>
      </c>
      <c r="F108" s="757">
        <v>17.004999999999999</v>
      </c>
      <c r="G108" s="757">
        <v>26.116</v>
      </c>
      <c r="H108" s="757">
        <v>1.6</v>
      </c>
      <c r="I108" s="757">
        <v>2.2000000000000002</v>
      </c>
      <c r="J108" s="757">
        <v>50</v>
      </c>
      <c r="K108" s="817" t="s">
        <v>205</v>
      </c>
      <c r="L108" s="757">
        <v>2754</v>
      </c>
      <c r="M108" s="757">
        <v>99.72</v>
      </c>
      <c r="N108" s="757">
        <f>ROUND(((D108*E108*2/3600)*(M108/100)),4)</f>
        <v>6.3E-3</v>
      </c>
      <c r="O108" s="757">
        <f>ROUND(((((H108*F108+I108*G108)/1000000)+(0.5*J108*(F108+G108)/1000000))*(M108/100)),5)</f>
        <v>1.16E-3</v>
      </c>
      <c r="P108" s="812"/>
      <c r="Q108" s="812"/>
      <c r="R108" s="813">
        <v>43.121000000000002</v>
      </c>
      <c r="S108" s="813" t="s">
        <v>184</v>
      </c>
      <c r="T108" s="821"/>
      <c r="U108" s="821"/>
    </row>
    <row r="109" spans="1:21" s="811" customFormat="1" ht="15" customHeight="1" x14ac:dyDescent="0.25">
      <c r="A109" s="1598"/>
      <c r="B109" s="1598"/>
      <c r="C109" s="820"/>
      <c r="D109" s="776"/>
      <c r="E109" s="776"/>
      <c r="F109" s="776"/>
      <c r="G109" s="776"/>
      <c r="H109" s="776"/>
      <c r="I109" s="776"/>
      <c r="J109" s="776"/>
      <c r="K109" s="777" t="s">
        <v>185</v>
      </c>
      <c r="L109" s="776" t="s">
        <v>186</v>
      </c>
      <c r="M109" s="776" t="s">
        <v>187</v>
      </c>
      <c r="N109" s="776">
        <f>ROUND(((D108*E108*2/3600)*(M109/100)),5)</f>
        <v>2.0000000000000002E-5</v>
      </c>
      <c r="O109" s="776">
        <f>ROUND(((((H108*F108+I108*G108)/1000000)+(0.5*J108*(F108+G108)/1000000))*(M109/100)),6)</f>
        <v>3.0000000000000001E-6</v>
      </c>
      <c r="P109" s="812"/>
      <c r="Q109" s="812"/>
      <c r="R109" s="835"/>
      <c r="S109" s="821"/>
      <c r="T109" s="821"/>
    </row>
    <row r="110" spans="1:21" s="811" customFormat="1" ht="15" customHeight="1" x14ac:dyDescent="0.25">
      <c r="A110" s="1514" t="s">
        <v>260</v>
      </c>
      <c r="B110" s="1515"/>
      <c r="C110" s="1515"/>
      <c r="D110" s="1515"/>
      <c r="E110" s="1515"/>
      <c r="F110" s="1515"/>
      <c r="G110" s="1515"/>
      <c r="H110" s="1515"/>
      <c r="I110" s="1515"/>
      <c r="J110" s="1515"/>
      <c r="K110" s="1515"/>
      <c r="L110" s="1515"/>
      <c r="M110" s="1515"/>
      <c r="N110" s="1515"/>
      <c r="O110" s="1516"/>
      <c r="P110" s="813"/>
      <c r="Q110" s="813"/>
      <c r="R110" s="825"/>
      <c r="S110" s="822"/>
      <c r="T110" s="822"/>
    </row>
    <row r="111" spans="1:21" s="811" customFormat="1" ht="15" customHeight="1" x14ac:dyDescent="0.25">
      <c r="A111" s="1202">
        <v>7070</v>
      </c>
      <c r="B111" s="1202" t="s">
        <v>181</v>
      </c>
      <c r="C111" s="816" t="s">
        <v>182</v>
      </c>
      <c r="D111" s="757">
        <v>3.6</v>
      </c>
      <c r="E111" s="757">
        <v>3.14</v>
      </c>
      <c r="F111" s="757">
        <v>2.9315000000000002</v>
      </c>
      <c r="G111" s="757">
        <v>9.2475000000000005</v>
      </c>
      <c r="H111" s="757">
        <v>1.6</v>
      </c>
      <c r="I111" s="757">
        <v>2.2000000000000002</v>
      </c>
      <c r="J111" s="757">
        <v>50</v>
      </c>
      <c r="K111" s="817" t="s">
        <v>205</v>
      </c>
      <c r="L111" s="757">
        <v>2754</v>
      </c>
      <c r="M111" s="757">
        <v>99.72</v>
      </c>
      <c r="N111" s="757">
        <f>ROUND(((D111*E111*2/3600)*(M111/100)),4)</f>
        <v>6.3E-3</v>
      </c>
      <c r="O111" s="757">
        <f>ROUND(((((H111*F111+I111*G111)/1000000)+(0.5*J111*(F111+G111)/1000000))*(M111/100)),5)</f>
        <v>3.3E-4</v>
      </c>
      <c r="P111" s="812"/>
      <c r="Q111" s="812"/>
      <c r="R111" s="813">
        <v>12.179</v>
      </c>
      <c r="S111" s="813" t="s">
        <v>184</v>
      </c>
      <c r="T111" s="821"/>
    </row>
    <row r="112" spans="1:21" s="811" customFormat="1" ht="15" customHeight="1" x14ac:dyDescent="0.25">
      <c r="A112" s="1598"/>
      <c r="B112" s="1598"/>
      <c r="C112" s="820"/>
      <c r="D112" s="776"/>
      <c r="E112" s="776"/>
      <c r="F112" s="776"/>
      <c r="G112" s="776"/>
      <c r="H112" s="776"/>
      <c r="I112" s="776"/>
      <c r="J112" s="776"/>
      <c r="K112" s="777" t="s">
        <v>185</v>
      </c>
      <c r="L112" s="776" t="s">
        <v>186</v>
      </c>
      <c r="M112" s="776" t="s">
        <v>187</v>
      </c>
      <c r="N112" s="776">
        <f>ROUND(((D111*E111*2/3600)*(M112/100)),5)</f>
        <v>2.0000000000000002E-5</v>
      </c>
      <c r="O112" s="776">
        <f>ROUND(((((H111*F111+I111*G111)/1000000)+(0.5*J111*(F111+G111)/1000000))*(M112/100)),6)</f>
        <v>9.9999999999999995E-7</v>
      </c>
      <c r="P112" s="812"/>
      <c r="Q112" s="812"/>
      <c r="R112" s="835"/>
      <c r="S112" s="821"/>
      <c r="T112" s="821"/>
    </row>
    <row r="113" spans="1:21" s="811" customFormat="1" ht="15" customHeight="1" x14ac:dyDescent="0.25">
      <c r="A113" s="1514" t="s">
        <v>264</v>
      </c>
      <c r="B113" s="1515"/>
      <c r="C113" s="1515"/>
      <c r="D113" s="1515"/>
      <c r="E113" s="1515"/>
      <c r="F113" s="1515"/>
      <c r="G113" s="1515"/>
      <c r="H113" s="1515"/>
      <c r="I113" s="1515"/>
      <c r="J113" s="1515"/>
      <c r="K113" s="1515"/>
      <c r="L113" s="1515"/>
      <c r="M113" s="1515"/>
      <c r="N113" s="1515"/>
      <c r="O113" s="1516"/>
      <c r="P113" s="813"/>
      <c r="Q113" s="813"/>
      <c r="R113" s="825"/>
      <c r="S113" s="822"/>
      <c r="T113" s="822"/>
    </row>
    <row r="114" spans="1:21" s="811" customFormat="1" ht="15" customHeight="1" x14ac:dyDescent="0.25">
      <c r="A114" s="1202">
        <v>7083</v>
      </c>
      <c r="B114" s="1202" t="s">
        <v>181</v>
      </c>
      <c r="C114" s="816" t="s">
        <v>182</v>
      </c>
      <c r="D114" s="757">
        <v>3.6</v>
      </c>
      <c r="E114" s="757">
        <v>3.14</v>
      </c>
      <c r="F114" s="757">
        <v>19.698499999999999</v>
      </c>
      <c r="G114" s="757">
        <v>42.429499999999997</v>
      </c>
      <c r="H114" s="757">
        <v>1.6</v>
      </c>
      <c r="I114" s="757">
        <v>2.2000000000000002</v>
      </c>
      <c r="J114" s="757">
        <v>50</v>
      </c>
      <c r="K114" s="817" t="s">
        <v>205</v>
      </c>
      <c r="L114" s="757">
        <v>2754</v>
      </c>
      <c r="M114" s="757">
        <v>99.72</v>
      </c>
      <c r="N114" s="757">
        <f>ROUND(((D114*E114*2/3600)*(M114/100)),4)</f>
        <v>6.3E-3</v>
      </c>
      <c r="O114" s="757">
        <f>ROUND(((((H114*F114+I114*G114)/1000000)+(0.5*J114*(F114+G114)/1000000))*(M114/100)),5)</f>
        <v>1.67E-3</v>
      </c>
      <c r="P114" s="812"/>
      <c r="Q114" s="812"/>
      <c r="R114" s="813">
        <v>62.128</v>
      </c>
      <c r="S114" s="813" t="s">
        <v>184</v>
      </c>
      <c r="T114" s="821"/>
    </row>
    <row r="115" spans="1:21" s="811" customFormat="1" ht="15" customHeight="1" x14ac:dyDescent="0.25">
      <c r="A115" s="1598"/>
      <c r="B115" s="1598"/>
      <c r="C115" s="820"/>
      <c r="D115" s="776"/>
      <c r="E115" s="776"/>
      <c r="F115" s="776"/>
      <c r="G115" s="776"/>
      <c r="H115" s="776"/>
      <c r="I115" s="776"/>
      <c r="J115" s="776"/>
      <c r="K115" s="777" t="s">
        <v>185</v>
      </c>
      <c r="L115" s="776" t="s">
        <v>186</v>
      </c>
      <c r="M115" s="776" t="s">
        <v>187</v>
      </c>
      <c r="N115" s="776">
        <f>ROUND(((D114*E114*2/3600)*(M115/100)),5)</f>
        <v>2.0000000000000002E-5</v>
      </c>
      <c r="O115" s="776">
        <f>ROUND(((((H114*F114+I114*G114)/1000000)+(0.5*J114*(F114+G114)/1000000))*(M115/100)),6)</f>
        <v>5.0000000000000004E-6</v>
      </c>
      <c r="P115" s="812"/>
      <c r="Q115" s="812"/>
      <c r="R115" s="835"/>
      <c r="S115" s="821"/>
      <c r="T115" s="821"/>
    </row>
    <row r="116" spans="1:21" s="811" customFormat="1" ht="15" customHeight="1" x14ac:dyDescent="0.25">
      <c r="A116" s="1514" t="s">
        <v>276</v>
      </c>
      <c r="B116" s="1515"/>
      <c r="C116" s="1515"/>
      <c r="D116" s="1515"/>
      <c r="E116" s="1515"/>
      <c r="F116" s="1515"/>
      <c r="G116" s="1515"/>
      <c r="H116" s="1515"/>
      <c r="I116" s="1515"/>
      <c r="J116" s="1515"/>
      <c r="K116" s="1515"/>
      <c r="L116" s="1515"/>
      <c r="M116" s="1515"/>
      <c r="N116" s="1515"/>
      <c r="O116" s="1516"/>
      <c r="P116" s="813"/>
      <c r="Q116" s="813"/>
      <c r="R116" s="825"/>
      <c r="S116" s="822"/>
      <c r="T116" s="822"/>
    </row>
    <row r="117" spans="1:21" s="811" customFormat="1" ht="15" customHeight="1" x14ac:dyDescent="0.25">
      <c r="A117" s="1202">
        <v>7088</v>
      </c>
      <c r="B117" s="1202" t="s">
        <v>181</v>
      </c>
      <c r="C117" s="816" t="s">
        <v>182</v>
      </c>
      <c r="D117" s="757">
        <v>3.6</v>
      </c>
      <c r="E117" s="757">
        <v>3.14</v>
      </c>
      <c r="F117" s="757">
        <v>10.557</v>
      </c>
      <c r="G117" s="757">
        <v>15.664999999999999</v>
      </c>
      <c r="H117" s="757">
        <v>1.6</v>
      </c>
      <c r="I117" s="757">
        <v>2.2000000000000002</v>
      </c>
      <c r="J117" s="757">
        <v>50</v>
      </c>
      <c r="K117" s="817" t="s">
        <v>205</v>
      </c>
      <c r="L117" s="757">
        <v>2754</v>
      </c>
      <c r="M117" s="757">
        <v>99.72</v>
      </c>
      <c r="N117" s="757">
        <f>ROUND(((D117*E117*2/3600)*(M117/100)),4)</f>
        <v>6.3E-3</v>
      </c>
      <c r="O117" s="757">
        <f>ROUND(((((H117*F117+I117*G117)/1000000)+(0.5*J117*(F117+G117)/1000000))*(M117/100)),5)</f>
        <v>6.9999999999999999E-4</v>
      </c>
      <c r="P117" s="812"/>
      <c r="Q117" s="812"/>
      <c r="R117" s="813">
        <v>26.222000000000001</v>
      </c>
      <c r="S117" s="813" t="s">
        <v>184</v>
      </c>
      <c r="T117" s="821"/>
    </row>
    <row r="118" spans="1:21" s="811" customFormat="1" ht="15" customHeight="1" x14ac:dyDescent="0.25">
      <c r="A118" s="1598"/>
      <c r="B118" s="1598"/>
      <c r="C118" s="820"/>
      <c r="D118" s="776"/>
      <c r="E118" s="776"/>
      <c r="F118" s="776"/>
      <c r="G118" s="776"/>
      <c r="H118" s="776"/>
      <c r="I118" s="776"/>
      <c r="J118" s="776"/>
      <c r="K118" s="777" t="s">
        <v>185</v>
      </c>
      <c r="L118" s="776" t="s">
        <v>186</v>
      </c>
      <c r="M118" s="776" t="s">
        <v>187</v>
      </c>
      <c r="N118" s="776">
        <f>ROUND(((D117*E117*2/3600)*(M118/100)),5)</f>
        <v>2.0000000000000002E-5</v>
      </c>
      <c r="O118" s="776">
        <f>ROUND(((((H117*F117+I117*G117)/1000000)+(0.5*J117*(F117+G117)/1000000))*(M118/100)),6)</f>
        <v>1.9999999999999999E-6</v>
      </c>
      <c r="P118" s="812"/>
      <c r="Q118" s="812"/>
      <c r="R118" s="835"/>
      <c r="S118" s="821"/>
      <c r="T118" s="821"/>
    </row>
    <row r="119" spans="1:21" s="811" customFormat="1" ht="15" customHeight="1" x14ac:dyDescent="0.25">
      <c r="A119" s="1514" t="s">
        <v>284</v>
      </c>
      <c r="B119" s="1515"/>
      <c r="C119" s="1515"/>
      <c r="D119" s="1515"/>
      <c r="E119" s="1515"/>
      <c r="F119" s="1515"/>
      <c r="G119" s="1515"/>
      <c r="H119" s="1515"/>
      <c r="I119" s="1515"/>
      <c r="J119" s="1515"/>
      <c r="K119" s="1515"/>
      <c r="L119" s="1515"/>
      <c r="M119" s="1515"/>
      <c r="N119" s="1515"/>
      <c r="O119" s="1516"/>
      <c r="P119" s="813"/>
      <c r="Q119" s="813"/>
      <c r="R119" s="825"/>
      <c r="S119" s="822"/>
      <c r="T119" s="822"/>
    </row>
    <row r="120" spans="1:21" s="811" customFormat="1" ht="15" customHeight="1" x14ac:dyDescent="0.25">
      <c r="A120" s="1202">
        <v>7095</v>
      </c>
      <c r="B120" s="1202" t="s">
        <v>181</v>
      </c>
      <c r="C120" s="816" t="s">
        <v>182</v>
      </c>
      <c r="D120" s="757">
        <v>3.6</v>
      </c>
      <c r="E120" s="757">
        <v>3.14</v>
      </c>
      <c r="F120" s="757">
        <v>57.036999999999999</v>
      </c>
      <c r="G120" s="757">
        <v>57.036999999999999</v>
      </c>
      <c r="H120" s="757">
        <v>1.6</v>
      </c>
      <c r="I120" s="757">
        <v>2.2000000000000002</v>
      </c>
      <c r="J120" s="757">
        <v>50</v>
      </c>
      <c r="K120" s="817" t="s">
        <v>205</v>
      </c>
      <c r="L120" s="757">
        <v>2754</v>
      </c>
      <c r="M120" s="757">
        <v>99.72</v>
      </c>
      <c r="N120" s="757">
        <f>ROUND(((D120*E120*2/3600)*(M120/100)),4)</f>
        <v>6.3E-3</v>
      </c>
      <c r="O120" s="757">
        <f>ROUND(((((H120*F120+I120*G120)/1000000)+(0.5*J120*(F120+G120)/1000000))*(M120/100)),5)</f>
        <v>3.0599999999999998E-3</v>
      </c>
      <c r="P120" s="812"/>
      <c r="Q120" s="812"/>
      <c r="R120" s="813">
        <v>114.074</v>
      </c>
      <c r="S120" s="813" t="s">
        <v>184</v>
      </c>
      <c r="T120" s="821"/>
    </row>
    <row r="121" spans="1:21" s="811" customFormat="1" ht="15" customHeight="1" x14ac:dyDescent="0.25">
      <c r="A121" s="1598"/>
      <c r="B121" s="1598"/>
      <c r="C121" s="820"/>
      <c r="D121" s="776"/>
      <c r="E121" s="776"/>
      <c r="F121" s="776"/>
      <c r="G121" s="776"/>
      <c r="H121" s="776"/>
      <c r="I121" s="776"/>
      <c r="J121" s="776"/>
      <c r="K121" s="777" t="s">
        <v>185</v>
      </c>
      <c r="L121" s="776" t="s">
        <v>186</v>
      </c>
      <c r="M121" s="776" t="s">
        <v>187</v>
      </c>
      <c r="N121" s="776">
        <f>ROUND(((D120*E120*2/3600)*(M121/100)),5)</f>
        <v>2.0000000000000002E-5</v>
      </c>
      <c r="O121" s="776">
        <f>ROUND(((((H120*F120+I120*G120)/1000000)+(0.5*J120*(F120+G120)/1000000))*(M121/100)),6)</f>
        <v>9.0000000000000002E-6</v>
      </c>
      <c r="P121" s="812"/>
      <c r="Q121" s="812"/>
      <c r="R121" s="835"/>
      <c r="S121" s="821"/>
      <c r="T121" s="821"/>
    </row>
    <row r="122" spans="1:21" s="811" customFormat="1" ht="15" customHeight="1" x14ac:dyDescent="0.25">
      <c r="A122" s="1514" t="s">
        <v>288</v>
      </c>
      <c r="B122" s="1515"/>
      <c r="C122" s="1515"/>
      <c r="D122" s="1515"/>
      <c r="E122" s="1515"/>
      <c r="F122" s="1515"/>
      <c r="G122" s="1515"/>
      <c r="H122" s="1515"/>
      <c r="I122" s="1515"/>
      <c r="J122" s="1515"/>
      <c r="K122" s="1515"/>
      <c r="L122" s="1515"/>
      <c r="M122" s="1515"/>
      <c r="N122" s="1515"/>
      <c r="O122" s="1516"/>
      <c r="P122" s="813"/>
      <c r="Q122" s="813"/>
      <c r="R122" s="825"/>
      <c r="S122" s="822"/>
      <c r="T122" s="822"/>
    </row>
    <row r="123" spans="1:21" s="811" customFormat="1" ht="15" customHeight="1" x14ac:dyDescent="0.25">
      <c r="A123" s="1202">
        <v>7107</v>
      </c>
      <c r="B123" s="1202" t="s">
        <v>181</v>
      </c>
      <c r="C123" s="816" t="s">
        <v>182</v>
      </c>
      <c r="D123" s="757">
        <v>3.6</v>
      </c>
      <c r="E123" s="757">
        <v>3.14</v>
      </c>
      <c r="F123" s="757">
        <v>0</v>
      </c>
      <c r="G123" s="757">
        <v>25.731000000000002</v>
      </c>
      <c r="H123" s="757">
        <v>1.6</v>
      </c>
      <c r="I123" s="757">
        <v>2.2000000000000002</v>
      </c>
      <c r="J123" s="757">
        <v>50</v>
      </c>
      <c r="K123" s="817" t="s">
        <v>205</v>
      </c>
      <c r="L123" s="757">
        <v>2754</v>
      </c>
      <c r="M123" s="757">
        <v>99.72</v>
      </c>
      <c r="N123" s="757">
        <f>ROUND(((D123*E123*2/3600)*(M123/100)),4)</f>
        <v>6.3E-3</v>
      </c>
      <c r="O123" s="757">
        <f>ROUND(((((H123*F123+I123*G123)/1000000)+(0.5*J123*(F123+G123)/1000000))*(M123/100)),5)</f>
        <v>6.9999999999999999E-4</v>
      </c>
      <c r="P123" s="812"/>
      <c r="Q123" s="812"/>
      <c r="R123" s="813">
        <v>25.731000000000002</v>
      </c>
      <c r="S123" s="813" t="s">
        <v>184</v>
      </c>
      <c r="T123" s="821"/>
    </row>
    <row r="124" spans="1:21" s="811" customFormat="1" ht="15" customHeight="1" x14ac:dyDescent="0.25">
      <c r="A124" s="1598"/>
      <c r="B124" s="1598"/>
      <c r="C124" s="820"/>
      <c r="D124" s="776"/>
      <c r="E124" s="776"/>
      <c r="F124" s="776"/>
      <c r="G124" s="776"/>
      <c r="H124" s="776"/>
      <c r="I124" s="776"/>
      <c r="J124" s="776"/>
      <c r="K124" s="777" t="s">
        <v>185</v>
      </c>
      <c r="L124" s="776" t="s">
        <v>186</v>
      </c>
      <c r="M124" s="776" t="s">
        <v>187</v>
      </c>
      <c r="N124" s="776">
        <f>ROUND(((D123*E123*2/3600)*(M124/100)),5)</f>
        <v>2.0000000000000002E-5</v>
      </c>
      <c r="O124" s="776">
        <f>ROUND(((((H123*F123+I123*G123)/1000000)+(0.5*J123*(F123+G123)/1000000))*(M124/100)),6)</f>
        <v>1.9999999999999999E-6</v>
      </c>
      <c r="P124" s="812"/>
      <c r="Q124" s="812"/>
      <c r="R124" s="835"/>
      <c r="S124" s="822"/>
      <c r="T124" s="822"/>
    </row>
    <row r="125" spans="1:21" s="811" customFormat="1" ht="15" customHeight="1" x14ac:dyDescent="0.25">
      <c r="A125" s="1514" t="s">
        <v>291</v>
      </c>
      <c r="B125" s="1515"/>
      <c r="C125" s="1515"/>
      <c r="D125" s="1515"/>
      <c r="E125" s="1515"/>
      <c r="F125" s="1515"/>
      <c r="G125" s="1515"/>
      <c r="H125" s="1515"/>
      <c r="I125" s="1515"/>
      <c r="J125" s="1515"/>
      <c r="K125" s="1515"/>
      <c r="L125" s="1515"/>
      <c r="M125" s="1515"/>
      <c r="N125" s="1515"/>
      <c r="O125" s="1516"/>
      <c r="P125" s="813"/>
      <c r="Q125" s="813"/>
      <c r="R125" s="825"/>
      <c r="S125" s="822"/>
      <c r="T125" s="822"/>
    </row>
    <row r="126" spans="1:21" s="811" customFormat="1" ht="15" customHeight="1" x14ac:dyDescent="0.25">
      <c r="A126" s="1202">
        <v>7114</v>
      </c>
      <c r="B126" s="1202" t="s">
        <v>181</v>
      </c>
      <c r="C126" s="816" t="s">
        <v>182</v>
      </c>
      <c r="D126" s="757">
        <v>3.6</v>
      </c>
      <c r="E126" s="757">
        <v>3.14</v>
      </c>
      <c r="F126" s="757">
        <v>42.797499999999999</v>
      </c>
      <c r="G126" s="757">
        <v>66.472499999999997</v>
      </c>
      <c r="H126" s="757">
        <v>1.6</v>
      </c>
      <c r="I126" s="757">
        <v>2.2000000000000002</v>
      </c>
      <c r="J126" s="757">
        <v>50</v>
      </c>
      <c r="K126" s="817" t="s">
        <v>205</v>
      </c>
      <c r="L126" s="757">
        <v>2754</v>
      </c>
      <c r="M126" s="757">
        <v>99.72</v>
      </c>
      <c r="N126" s="757">
        <f>ROUND(((D126*E126*2/3600)*(M126/100)),4)</f>
        <v>6.3E-3</v>
      </c>
      <c r="O126" s="757">
        <f>ROUND(((((H126*F126+I126*G126)/1000000)+(0.5*J126*(F126+G126)/1000000))*(M126/100)),5)</f>
        <v>2.9399999999999999E-3</v>
      </c>
      <c r="P126" s="812"/>
      <c r="Q126" s="812"/>
      <c r="R126" s="813">
        <v>109.27</v>
      </c>
      <c r="S126" s="813" t="s">
        <v>184</v>
      </c>
      <c r="T126" s="821"/>
      <c r="U126" s="821"/>
    </row>
    <row r="127" spans="1:21" s="811" customFormat="1" ht="15" customHeight="1" x14ac:dyDescent="0.2">
      <c r="A127" s="1598"/>
      <c r="B127" s="1598"/>
      <c r="C127" s="820"/>
      <c r="D127" s="776"/>
      <c r="E127" s="776"/>
      <c r="F127" s="776"/>
      <c r="G127" s="776"/>
      <c r="H127" s="776"/>
      <c r="I127" s="776"/>
      <c r="J127" s="776"/>
      <c r="K127" s="777" t="s">
        <v>185</v>
      </c>
      <c r="L127" s="776" t="s">
        <v>186</v>
      </c>
      <c r="M127" s="776" t="s">
        <v>187</v>
      </c>
      <c r="N127" s="776">
        <f>ROUND(((D126*E126*2/3600)*(M127/100)),5)</f>
        <v>2.0000000000000002E-5</v>
      </c>
      <c r="O127" s="776">
        <f>ROUND(((((H126*F126+I126*G126)/1000000)+(0.5*J126*(F126+G126)/1000000))*(M127/100)),6)</f>
        <v>7.9999999999999996E-6</v>
      </c>
      <c r="P127" s="832">
        <f>SUM(N84:N127)</f>
        <v>9.4800000000000023E-2</v>
      </c>
      <c r="Q127" s="833">
        <f>SUM(O84:O127)</f>
        <v>2.7198E-2</v>
      </c>
      <c r="R127" s="834">
        <v>2027</v>
      </c>
      <c r="S127" s="821"/>
      <c r="T127" s="821"/>
      <c r="U127" s="821"/>
    </row>
    <row r="128" spans="1:21" s="811" customFormat="1" ht="15" customHeight="1" x14ac:dyDescent="0.25">
      <c r="A128" s="1617" t="s">
        <v>60</v>
      </c>
      <c r="B128" s="1618"/>
      <c r="C128" s="1618"/>
      <c r="D128" s="1618"/>
      <c r="E128" s="1618"/>
      <c r="F128" s="1618"/>
      <c r="G128" s="1618"/>
      <c r="H128" s="1618"/>
      <c r="I128" s="1618"/>
      <c r="J128" s="1618"/>
      <c r="K128" s="1618"/>
      <c r="L128" s="1618"/>
      <c r="M128" s="1618"/>
      <c r="N128" s="1618"/>
      <c r="O128" s="1619"/>
      <c r="P128" s="813"/>
      <c r="Q128" s="813"/>
      <c r="R128" s="835"/>
      <c r="S128" s="821"/>
      <c r="T128" s="821"/>
    </row>
    <row r="129" spans="1:20" s="811" customFormat="1" ht="15" customHeight="1" x14ac:dyDescent="0.25">
      <c r="A129" s="1614" t="s">
        <v>8</v>
      </c>
      <c r="B129" s="1615"/>
      <c r="C129" s="1615"/>
      <c r="D129" s="1615"/>
      <c r="E129" s="1615"/>
      <c r="F129" s="1615"/>
      <c r="G129" s="1615"/>
      <c r="H129" s="1615"/>
      <c r="I129" s="1615"/>
      <c r="J129" s="1615"/>
      <c r="K129" s="1615"/>
      <c r="L129" s="1615"/>
      <c r="M129" s="1615"/>
      <c r="N129" s="1615"/>
      <c r="O129" s="1616"/>
      <c r="P129" s="813"/>
      <c r="Q129" s="813"/>
      <c r="R129" s="825"/>
      <c r="S129" s="822"/>
      <c r="T129" s="822"/>
    </row>
    <row r="130" spans="1:20" s="811" customFormat="1" ht="15" customHeight="1" x14ac:dyDescent="0.25">
      <c r="A130" s="1202">
        <v>7008</v>
      </c>
      <c r="B130" s="1202" t="s">
        <v>181</v>
      </c>
      <c r="C130" s="816" t="s">
        <v>182</v>
      </c>
      <c r="D130" s="757">
        <v>3.6</v>
      </c>
      <c r="E130" s="757">
        <v>3.14</v>
      </c>
      <c r="F130" s="757">
        <v>77.575000000000003</v>
      </c>
      <c r="G130" s="757">
        <v>77.575000000000003</v>
      </c>
      <c r="H130" s="757">
        <v>1.6</v>
      </c>
      <c r="I130" s="757">
        <v>2.2000000000000002</v>
      </c>
      <c r="J130" s="757">
        <v>50</v>
      </c>
      <c r="K130" s="817" t="s">
        <v>205</v>
      </c>
      <c r="L130" s="757">
        <v>2754</v>
      </c>
      <c r="M130" s="757">
        <v>99.72</v>
      </c>
      <c r="N130" s="757">
        <f>ROUND(((D130*E130*2/3600)*(M130/100)),4)</f>
        <v>6.3E-3</v>
      </c>
      <c r="O130" s="757">
        <f>ROUND(((((H130*F130+I130*G130)/1000000)+(0.5*J130*(F130+G130)/1000000))*(M130/100)),5)</f>
        <v>4.1599999999999996E-3</v>
      </c>
      <c r="P130" s="812"/>
      <c r="Q130" s="812"/>
      <c r="R130" s="813">
        <v>155.15</v>
      </c>
      <c r="S130" s="813" t="s">
        <v>184</v>
      </c>
      <c r="T130" s="821"/>
    </row>
    <row r="131" spans="1:20" s="811" customFormat="1" ht="15" customHeight="1" x14ac:dyDescent="0.25">
      <c r="A131" s="1598"/>
      <c r="B131" s="1598"/>
      <c r="C131" s="820"/>
      <c r="D131" s="776"/>
      <c r="E131" s="776"/>
      <c r="F131" s="776"/>
      <c r="G131" s="776"/>
      <c r="H131" s="776"/>
      <c r="I131" s="776"/>
      <c r="J131" s="776"/>
      <c r="K131" s="777" t="s">
        <v>185</v>
      </c>
      <c r="L131" s="776" t="s">
        <v>186</v>
      </c>
      <c r="M131" s="776" t="s">
        <v>187</v>
      </c>
      <c r="N131" s="776">
        <f>ROUND(((D130*E130*2/3600)*(M131/100)),5)</f>
        <v>2.0000000000000002E-5</v>
      </c>
      <c r="O131" s="776">
        <f>ROUND(((((H130*F130+I130*G130)/1000000)+(0.5*J130*(F130+G130)/1000000))*(M131/100)),6)</f>
        <v>1.2E-5</v>
      </c>
      <c r="P131" s="812"/>
      <c r="Q131" s="812"/>
      <c r="R131" s="835"/>
      <c r="S131" s="821"/>
      <c r="T131" s="821"/>
    </row>
    <row r="132" spans="1:20" s="811" customFormat="1" ht="15" customHeight="1" x14ac:dyDescent="0.25">
      <c r="A132" s="1514" t="s">
        <v>204</v>
      </c>
      <c r="B132" s="1515"/>
      <c r="C132" s="1515"/>
      <c r="D132" s="1515"/>
      <c r="E132" s="1515"/>
      <c r="F132" s="1515"/>
      <c r="G132" s="1515"/>
      <c r="H132" s="1515"/>
      <c r="I132" s="1515"/>
      <c r="J132" s="1515"/>
      <c r="K132" s="1515"/>
      <c r="L132" s="1515"/>
      <c r="M132" s="1515"/>
      <c r="N132" s="1515"/>
      <c r="O132" s="1516"/>
      <c r="P132" s="813"/>
      <c r="Q132" s="813"/>
      <c r="R132" s="835"/>
      <c r="S132" s="821"/>
      <c r="T132" s="821"/>
    </row>
    <row r="133" spans="1:20" s="811" customFormat="1" ht="15" customHeight="1" x14ac:dyDescent="0.25">
      <c r="A133" s="1202">
        <v>7013</v>
      </c>
      <c r="B133" s="1202" t="s">
        <v>181</v>
      </c>
      <c r="C133" s="816" t="s">
        <v>182</v>
      </c>
      <c r="D133" s="757">
        <v>3.6</v>
      </c>
      <c r="E133" s="757">
        <v>3.14</v>
      </c>
      <c r="F133" s="757">
        <v>9.7089999999999996</v>
      </c>
      <c r="G133" s="757">
        <v>9.7089999999999996</v>
      </c>
      <c r="H133" s="757">
        <v>1.6</v>
      </c>
      <c r="I133" s="757">
        <v>2.2000000000000002</v>
      </c>
      <c r="J133" s="757">
        <v>50</v>
      </c>
      <c r="K133" s="817" t="s">
        <v>205</v>
      </c>
      <c r="L133" s="757">
        <v>2754</v>
      </c>
      <c r="M133" s="757">
        <v>99.72</v>
      </c>
      <c r="N133" s="757">
        <f>ROUND(((D133*E133*2/3600)*(M133/100)),4)</f>
        <v>6.3E-3</v>
      </c>
      <c r="O133" s="757">
        <f>ROUND(((((H133*F133+I133*G133)/1000000)+(0.5*J133*(F133+G133)/1000000))*(M133/100)),5)</f>
        <v>5.1999999999999995E-4</v>
      </c>
      <c r="P133" s="812"/>
      <c r="Q133" s="812"/>
      <c r="R133" s="813">
        <v>19.417999999999999</v>
      </c>
      <c r="S133" s="813" t="s">
        <v>184</v>
      </c>
      <c r="T133" s="821"/>
    </row>
    <row r="134" spans="1:20" s="811" customFormat="1" ht="15" customHeight="1" x14ac:dyDescent="0.25">
      <c r="A134" s="1598"/>
      <c r="B134" s="1598"/>
      <c r="C134" s="820"/>
      <c r="D134" s="776"/>
      <c r="E134" s="776"/>
      <c r="F134" s="776"/>
      <c r="G134" s="776"/>
      <c r="H134" s="776"/>
      <c r="I134" s="776"/>
      <c r="J134" s="776"/>
      <c r="K134" s="777" t="s">
        <v>185</v>
      </c>
      <c r="L134" s="776" t="s">
        <v>186</v>
      </c>
      <c r="M134" s="776" t="s">
        <v>187</v>
      </c>
      <c r="N134" s="776">
        <f>ROUND(((D133*E133*2/3600)*(M134/100)),5)</f>
        <v>2.0000000000000002E-5</v>
      </c>
      <c r="O134" s="776">
        <f>ROUND(((((H133*F133+I133*G133)/1000000)+(0.5*J133*(F133+G133)/1000000))*(M134/100)),6)</f>
        <v>9.9999999999999995E-7</v>
      </c>
      <c r="P134" s="812"/>
      <c r="Q134" s="812"/>
      <c r="R134" s="825"/>
      <c r="S134" s="822"/>
      <c r="T134" s="822"/>
    </row>
    <row r="135" spans="1:20" s="811" customFormat="1" ht="15" customHeight="1" x14ac:dyDescent="0.25">
      <c r="A135" s="1514" t="s">
        <v>210</v>
      </c>
      <c r="B135" s="1515"/>
      <c r="C135" s="1515"/>
      <c r="D135" s="1515"/>
      <c r="E135" s="1515"/>
      <c r="F135" s="1515"/>
      <c r="G135" s="1515"/>
      <c r="H135" s="1515"/>
      <c r="I135" s="1515"/>
      <c r="J135" s="1515"/>
      <c r="K135" s="1515"/>
      <c r="L135" s="1515"/>
      <c r="M135" s="1515"/>
      <c r="N135" s="1515"/>
      <c r="O135" s="1516"/>
      <c r="P135" s="814"/>
      <c r="Q135" s="814"/>
      <c r="R135" s="825"/>
      <c r="S135" s="822"/>
      <c r="T135" s="822"/>
    </row>
    <row r="136" spans="1:20" s="811" customFormat="1" ht="15" customHeight="1" x14ac:dyDescent="0.25">
      <c r="A136" s="1202">
        <v>7018</v>
      </c>
      <c r="B136" s="1202" t="s">
        <v>181</v>
      </c>
      <c r="C136" s="816" t="s">
        <v>182</v>
      </c>
      <c r="D136" s="757">
        <v>3.6</v>
      </c>
      <c r="E136" s="757">
        <v>3.14</v>
      </c>
      <c r="F136" s="757">
        <v>9.73</v>
      </c>
      <c r="G136" s="757">
        <v>9.73</v>
      </c>
      <c r="H136" s="757">
        <v>1.6</v>
      </c>
      <c r="I136" s="757">
        <v>2.2000000000000002</v>
      </c>
      <c r="J136" s="757">
        <v>50</v>
      </c>
      <c r="K136" s="817" t="s">
        <v>205</v>
      </c>
      <c r="L136" s="757">
        <v>2754</v>
      </c>
      <c r="M136" s="757">
        <v>99.72</v>
      </c>
      <c r="N136" s="757">
        <f>ROUND(((D136*E136*2/3600)*(M136/100)),4)</f>
        <v>6.3E-3</v>
      </c>
      <c r="O136" s="757">
        <f>ROUND(((((H136*F136+I136*G136)/1000000)+(0.5*J136*(F136+G136)/1000000))*(M136/100)),5)</f>
        <v>5.1999999999999995E-4</v>
      </c>
      <c r="P136" s="780"/>
      <c r="Q136" s="780"/>
      <c r="R136" s="814">
        <v>19.46</v>
      </c>
      <c r="S136" s="814" t="s">
        <v>184</v>
      </c>
    </row>
    <row r="137" spans="1:20" s="811" customFormat="1" ht="15" customHeight="1" x14ac:dyDescent="0.25">
      <c r="A137" s="1598"/>
      <c r="B137" s="1598"/>
      <c r="C137" s="820"/>
      <c r="D137" s="776"/>
      <c r="E137" s="776"/>
      <c r="F137" s="776"/>
      <c r="G137" s="776"/>
      <c r="H137" s="776"/>
      <c r="I137" s="776"/>
      <c r="J137" s="776"/>
      <c r="K137" s="777" t="s">
        <v>185</v>
      </c>
      <c r="L137" s="776" t="s">
        <v>186</v>
      </c>
      <c r="M137" s="776" t="s">
        <v>187</v>
      </c>
      <c r="N137" s="776">
        <f>ROUND(((D136*E136*2/3600)*(M137/100)),5)</f>
        <v>2.0000000000000002E-5</v>
      </c>
      <c r="O137" s="776">
        <f>ROUND(((((H136*F136+I136*G136)/1000000)+(0.5*J136*(F136+G136)/1000000))*(M137/100)),6)</f>
        <v>9.9999999999999995E-7</v>
      </c>
      <c r="P137" s="780"/>
      <c r="Q137" s="780"/>
      <c r="R137" s="825"/>
      <c r="S137" s="822"/>
      <c r="T137" s="822"/>
    </row>
    <row r="138" spans="1:20" s="811" customFormat="1" ht="15" customHeight="1" x14ac:dyDescent="0.25">
      <c r="A138" s="1514" t="s">
        <v>213</v>
      </c>
      <c r="B138" s="1515"/>
      <c r="C138" s="1515"/>
      <c r="D138" s="1515"/>
      <c r="E138" s="1515"/>
      <c r="F138" s="1515"/>
      <c r="G138" s="1515"/>
      <c r="H138" s="1515"/>
      <c r="I138" s="1515"/>
      <c r="J138" s="1515"/>
      <c r="K138" s="1515"/>
      <c r="L138" s="1515"/>
      <c r="M138" s="1515"/>
      <c r="N138" s="1515"/>
      <c r="O138" s="1516"/>
      <c r="P138" s="813"/>
      <c r="Q138" s="813"/>
      <c r="R138" s="825"/>
      <c r="S138" s="822"/>
      <c r="T138" s="822"/>
    </row>
    <row r="139" spans="1:20" s="811" customFormat="1" ht="15" customHeight="1" x14ac:dyDescent="0.25">
      <c r="A139" s="1202">
        <v>7024</v>
      </c>
      <c r="B139" s="1202" t="s">
        <v>181</v>
      </c>
      <c r="C139" s="816" t="s">
        <v>182</v>
      </c>
      <c r="D139" s="757">
        <v>3.6</v>
      </c>
      <c r="E139" s="757">
        <v>3.14</v>
      </c>
      <c r="F139" s="757">
        <v>13.82</v>
      </c>
      <c r="G139" s="757">
        <v>13.82</v>
      </c>
      <c r="H139" s="757">
        <v>1.6</v>
      </c>
      <c r="I139" s="757">
        <v>2.2000000000000002</v>
      </c>
      <c r="J139" s="757">
        <v>50</v>
      </c>
      <c r="K139" s="817" t="s">
        <v>205</v>
      </c>
      <c r="L139" s="757">
        <v>2754</v>
      </c>
      <c r="M139" s="757">
        <v>99.72</v>
      </c>
      <c r="N139" s="757">
        <f>ROUND(((D139*E139*2/3600)*(M139/100)),4)</f>
        <v>6.3E-3</v>
      </c>
      <c r="O139" s="757">
        <f>ROUND(((((H139*F139+I139*G139)/1000000)+(0.5*J139*(F139+G139)/1000000))*(M139/100)),5)</f>
        <v>7.3999999999999999E-4</v>
      </c>
      <c r="P139" s="812"/>
      <c r="Q139" s="812"/>
      <c r="R139" s="813">
        <v>27.64</v>
      </c>
      <c r="S139" s="813" t="s">
        <v>184</v>
      </c>
      <c r="T139" s="821"/>
    </row>
    <row r="140" spans="1:20" s="811" customFormat="1" ht="15" customHeight="1" x14ac:dyDescent="0.25">
      <c r="A140" s="1598"/>
      <c r="B140" s="1598"/>
      <c r="C140" s="820"/>
      <c r="D140" s="776"/>
      <c r="E140" s="776"/>
      <c r="F140" s="776"/>
      <c r="G140" s="776"/>
      <c r="H140" s="776"/>
      <c r="I140" s="776"/>
      <c r="J140" s="776"/>
      <c r="K140" s="777" t="s">
        <v>185</v>
      </c>
      <c r="L140" s="776" t="s">
        <v>186</v>
      </c>
      <c r="M140" s="776" t="s">
        <v>187</v>
      </c>
      <c r="N140" s="776">
        <f>ROUND(((D139*E139*2/3600)*(M140/100)),5)</f>
        <v>2.0000000000000002E-5</v>
      </c>
      <c r="O140" s="776">
        <f>ROUND(((((H139*F139+I139*G139)/1000000)+(0.5*J139*(F139+G139)/1000000))*(M140/100)),6)</f>
        <v>1.9999999999999999E-6</v>
      </c>
      <c r="P140" s="812"/>
      <c r="Q140" s="812"/>
      <c r="R140" s="835"/>
      <c r="S140" s="821"/>
      <c r="T140" s="821"/>
    </row>
    <row r="141" spans="1:20" s="811" customFormat="1" ht="15" customHeight="1" x14ac:dyDescent="0.25">
      <c r="A141" s="1514" t="s">
        <v>215</v>
      </c>
      <c r="B141" s="1515"/>
      <c r="C141" s="1515"/>
      <c r="D141" s="1515"/>
      <c r="E141" s="1515"/>
      <c r="F141" s="1515"/>
      <c r="G141" s="1515"/>
      <c r="H141" s="1515"/>
      <c r="I141" s="1515"/>
      <c r="J141" s="1515"/>
      <c r="K141" s="1515"/>
      <c r="L141" s="1515"/>
      <c r="M141" s="1515"/>
      <c r="N141" s="1515"/>
      <c r="O141" s="1516"/>
      <c r="P141" s="813"/>
      <c r="Q141" s="813"/>
      <c r="R141" s="825"/>
      <c r="S141" s="822"/>
      <c r="T141" s="822"/>
    </row>
    <row r="142" spans="1:20" s="811" customFormat="1" ht="15" customHeight="1" x14ac:dyDescent="0.25">
      <c r="A142" s="1202">
        <v>7031</v>
      </c>
      <c r="B142" s="1202" t="s">
        <v>181</v>
      </c>
      <c r="C142" s="816" t="s">
        <v>182</v>
      </c>
      <c r="D142" s="757">
        <v>3.6</v>
      </c>
      <c r="E142" s="757">
        <v>3.14</v>
      </c>
      <c r="F142" s="757">
        <v>48.325499999999998</v>
      </c>
      <c r="G142" s="757">
        <v>48.325499999999998</v>
      </c>
      <c r="H142" s="757">
        <v>1.6</v>
      </c>
      <c r="I142" s="757">
        <v>2.2000000000000002</v>
      </c>
      <c r="J142" s="757">
        <v>50</v>
      </c>
      <c r="K142" s="817" t="s">
        <v>205</v>
      </c>
      <c r="L142" s="757">
        <v>2754</v>
      </c>
      <c r="M142" s="757">
        <v>99.72</v>
      </c>
      <c r="N142" s="757">
        <f>ROUND(((D142*E142*2/3600)*(M142/100)),4)</f>
        <v>6.3E-3</v>
      </c>
      <c r="O142" s="757">
        <f>ROUND(((((H142*F142+I142*G142)/1000000)+(0.5*J142*(F142+G142)/1000000))*(M142/100)),5)</f>
        <v>2.5899999999999999E-3</v>
      </c>
      <c r="P142" s="812"/>
      <c r="Q142" s="812"/>
      <c r="R142" s="813">
        <v>96.650999999999996</v>
      </c>
      <c r="S142" s="813" t="s">
        <v>184</v>
      </c>
      <c r="T142" s="821"/>
    </row>
    <row r="143" spans="1:20" s="811" customFormat="1" ht="15" customHeight="1" x14ac:dyDescent="0.25">
      <c r="A143" s="1598"/>
      <c r="B143" s="1598"/>
      <c r="C143" s="820"/>
      <c r="D143" s="776"/>
      <c r="E143" s="776"/>
      <c r="F143" s="776"/>
      <c r="G143" s="776"/>
      <c r="H143" s="776"/>
      <c r="I143" s="776"/>
      <c r="J143" s="776"/>
      <c r="K143" s="777" t="s">
        <v>185</v>
      </c>
      <c r="L143" s="776" t="s">
        <v>186</v>
      </c>
      <c r="M143" s="776" t="s">
        <v>187</v>
      </c>
      <c r="N143" s="776">
        <f>ROUND(((D142*E142*2/3600)*(M143/100)),5)</f>
        <v>2.0000000000000002E-5</v>
      </c>
      <c r="O143" s="776">
        <f>ROUND(((((H142*F142+I142*G142)/1000000)+(0.5*J142*(F142+G142)/1000000))*(M143/100)),6)</f>
        <v>6.9999999999999999E-6</v>
      </c>
      <c r="P143" s="812"/>
      <c r="Q143" s="812"/>
      <c r="R143" s="835"/>
      <c r="S143" s="821"/>
      <c r="T143" s="821"/>
    </row>
    <row r="144" spans="1:20" s="811" customFormat="1" ht="15" customHeight="1" x14ac:dyDescent="0.25">
      <c r="A144" s="1514" t="s">
        <v>232</v>
      </c>
      <c r="B144" s="1515"/>
      <c r="C144" s="1515"/>
      <c r="D144" s="1515"/>
      <c r="E144" s="1515"/>
      <c r="F144" s="1515"/>
      <c r="G144" s="1515"/>
      <c r="H144" s="1515"/>
      <c r="I144" s="1515"/>
      <c r="J144" s="1515"/>
      <c r="K144" s="1515"/>
      <c r="L144" s="1515"/>
      <c r="M144" s="1515"/>
      <c r="N144" s="1515"/>
      <c r="O144" s="1516"/>
      <c r="P144" s="813"/>
      <c r="Q144" s="813"/>
      <c r="R144" s="825"/>
      <c r="S144" s="822"/>
      <c r="T144" s="822"/>
    </row>
    <row r="145" spans="1:21" s="811" customFormat="1" ht="15" customHeight="1" x14ac:dyDescent="0.25">
      <c r="A145" s="1202">
        <v>7035</v>
      </c>
      <c r="B145" s="1202" t="s">
        <v>181</v>
      </c>
      <c r="C145" s="816" t="s">
        <v>182</v>
      </c>
      <c r="D145" s="757">
        <v>3.6</v>
      </c>
      <c r="E145" s="757">
        <v>3.14</v>
      </c>
      <c r="F145" s="757">
        <v>15.919</v>
      </c>
      <c r="G145" s="757">
        <v>15.919</v>
      </c>
      <c r="H145" s="757">
        <v>1.6</v>
      </c>
      <c r="I145" s="757">
        <v>2.2000000000000002</v>
      </c>
      <c r="J145" s="757">
        <v>50</v>
      </c>
      <c r="K145" s="817" t="s">
        <v>205</v>
      </c>
      <c r="L145" s="757">
        <v>2754</v>
      </c>
      <c r="M145" s="757">
        <v>99.72</v>
      </c>
      <c r="N145" s="757">
        <f>ROUND(((D145*E145*2/3600)*(M145/100)),4)</f>
        <v>6.3E-3</v>
      </c>
      <c r="O145" s="757">
        <f>ROUND(((((H145*F145+I145*G145)/1000000)+(0.5*J145*(F145+G145)/1000000))*(M145/100)),5)</f>
        <v>8.4999999999999995E-4</v>
      </c>
      <c r="P145" s="812"/>
      <c r="Q145" s="812"/>
      <c r="R145" s="813">
        <v>31.838000000000001</v>
      </c>
      <c r="S145" s="813" t="s">
        <v>184</v>
      </c>
      <c r="T145" s="821"/>
    </row>
    <row r="146" spans="1:21" s="811" customFormat="1" ht="15" customHeight="1" x14ac:dyDescent="0.25">
      <c r="A146" s="1598"/>
      <c r="B146" s="1598"/>
      <c r="C146" s="820"/>
      <c r="D146" s="776"/>
      <c r="E146" s="776"/>
      <c r="F146" s="776"/>
      <c r="G146" s="776"/>
      <c r="H146" s="776"/>
      <c r="I146" s="776"/>
      <c r="J146" s="776"/>
      <c r="K146" s="777" t="s">
        <v>185</v>
      </c>
      <c r="L146" s="776" t="s">
        <v>186</v>
      </c>
      <c r="M146" s="776" t="s">
        <v>187</v>
      </c>
      <c r="N146" s="776">
        <f>ROUND(((D145*E145*2/3600)*(M146/100)),5)</f>
        <v>2.0000000000000002E-5</v>
      </c>
      <c r="O146" s="776">
        <f>ROUND(((((H145*F145+I145*G145)/1000000)+(0.5*J145*(F145+G145)/1000000))*(M146/100)),6)</f>
        <v>1.9999999999999999E-6</v>
      </c>
      <c r="P146" s="812"/>
      <c r="Q146" s="812"/>
      <c r="R146" s="835"/>
      <c r="S146" s="821"/>
      <c r="T146" s="821"/>
    </row>
    <row r="147" spans="1:21" s="811" customFormat="1" ht="15" customHeight="1" x14ac:dyDescent="0.25">
      <c r="A147" s="1514" t="s">
        <v>233</v>
      </c>
      <c r="B147" s="1515"/>
      <c r="C147" s="1515"/>
      <c r="D147" s="1515"/>
      <c r="E147" s="1515"/>
      <c r="F147" s="1515"/>
      <c r="G147" s="1515"/>
      <c r="H147" s="1515"/>
      <c r="I147" s="1515"/>
      <c r="J147" s="1515"/>
      <c r="K147" s="1515"/>
      <c r="L147" s="1515"/>
      <c r="M147" s="1515"/>
      <c r="N147" s="1515"/>
      <c r="O147" s="1516"/>
      <c r="P147" s="813"/>
      <c r="Q147" s="813"/>
      <c r="R147" s="825"/>
      <c r="S147" s="822"/>
      <c r="T147" s="822"/>
      <c r="U147" s="821"/>
    </row>
    <row r="148" spans="1:21" s="811" customFormat="1" ht="15" customHeight="1" x14ac:dyDescent="0.25">
      <c r="A148" s="1202">
        <v>7042</v>
      </c>
      <c r="B148" s="1202" t="s">
        <v>181</v>
      </c>
      <c r="C148" s="816" t="s">
        <v>182</v>
      </c>
      <c r="D148" s="757">
        <v>3.6</v>
      </c>
      <c r="E148" s="757">
        <v>3.14</v>
      </c>
      <c r="F148" s="757">
        <v>8.69</v>
      </c>
      <c r="G148" s="757">
        <v>27.907</v>
      </c>
      <c r="H148" s="757">
        <v>1.6</v>
      </c>
      <c r="I148" s="757">
        <v>2.2000000000000002</v>
      </c>
      <c r="J148" s="757">
        <v>50</v>
      </c>
      <c r="K148" s="817" t="s">
        <v>205</v>
      </c>
      <c r="L148" s="757">
        <v>2754</v>
      </c>
      <c r="M148" s="757">
        <v>99.72</v>
      </c>
      <c r="N148" s="757">
        <f>ROUND(((D148*E148*2/3600)*(M148/100)),4)</f>
        <v>6.3E-3</v>
      </c>
      <c r="O148" s="757">
        <f>ROUND(((((H148*F148+I148*G148)/1000000)+(0.5*J148*(F148+G148)/1000000))*(M148/100)),5)</f>
        <v>9.8999999999999999E-4</v>
      </c>
      <c r="P148" s="812"/>
      <c r="Q148" s="812"/>
      <c r="R148" s="813">
        <v>36.597000000000001</v>
      </c>
      <c r="S148" s="813" t="s">
        <v>184</v>
      </c>
      <c r="T148" s="821"/>
    </row>
    <row r="149" spans="1:21" s="811" customFormat="1" ht="15" customHeight="1" x14ac:dyDescent="0.25">
      <c r="A149" s="1598"/>
      <c r="B149" s="1598"/>
      <c r="C149" s="820"/>
      <c r="D149" s="776"/>
      <c r="E149" s="776"/>
      <c r="F149" s="776"/>
      <c r="G149" s="776"/>
      <c r="H149" s="776"/>
      <c r="I149" s="776"/>
      <c r="J149" s="776"/>
      <c r="K149" s="777" t="s">
        <v>185</v>
      </c>
      <c r="L149" s="776" t="s">
        <v>186</v>
      </c>
      <c r="M149" s="776" t="s">
        <v>187</v>
      </c>
      <c r="N149" s="776">
        <f>ROUND(((D148*E148*2/3600)*(M149/100)),5)</f>
        <v>2.0000000000000002E-5</v>
      </c>
      <c r="O149" s="776">
        <f>ROUND(((((H148*F148+I148*G148)/1000000)+(0.5*J148*(F148+G148)/1000000))*(M149/100)),6)</f>
        <v>3.0000000000000001E-6</v>
      </c>
      <c r="P149" s="812"/>
      <c r="Q149" s="812"/>
      <c r="R149" s="835"/>
      <c r="S149" s="822"/>
      <c r="T149" s="822"/>
      <c r="U149" s="821"/>
    </row>
    <row r="150" spans="1:21" s="811" customFormat="1" ht="15" customHeight="1" x14ac:dyDescent="0.25">
      <c r="A150" s="1514" t="s">
        <v>241</v>
      </c>
      <c r="B150" s="1515"/>
      <c r="C150" s="1515"/>
      <c r="D150" s="1515"/>
      <c r="E150" s="1515"/>
      <c r="F150" s="1515"/>
      <c r="G150" s="1515"/>
      <c r="H150" s="1515"/>
      <c r="I150" s="1515"/>
      <c r="J150" s="1515"/>
      <c r="K150" s="1515"/>
      <c r="L150" s="1515"/>
      <c r="M150" s="1515"/>
      <c r="N150" s="1515"/>
      <c r="O150" s="1516"/>
      <c r="P150" s="813"/>
      <c r="Q150" s="813"/>
      <c r="R150" s="825"/>
      <c r="S150" s="822"/>
      <c r="T150" s="822"/>
      <c r="U150" s="821"/>
    </row>
    <row r="151" spans="1:21" s="811" customFormat="1" ht="15" customHeight="1" x14ac:dyDescent="0.25">
      <c r="A151" s="1202">
        <v>7046</v>
      </c>
      <c r="B151" s="1202" t="s">
        <v>181</v>
      </c>
      <c r="C151" s="816" t="s">
        <v>182</v>
      </c>
      <c r="D151" s="757">
        <v>3.6</v>
      </c>
      <c r="E151" s="757">
        <v>3.14</v>
      </c>
      <c r="F151" s="757">
        <v>4.0214999999999996</v>
      </c>
      <c r="G151" s="757">
        <v>6.3674999999999997</v>
      </c>
      <c r="H151" s="757">
        <v>1.6</v>
      </c>
      <c r="I151" s="757">
        <v>2.2000000000000002</v>
      </c>
      <c r="J151" s="757">
        <v>50</v>
      </c>
      <c r="K151" s="817" t="s">
        <v>205</v>
      </c>
      <c r="L151" s="757">
        <v>2754</v>
      </c>
      <c r="M151" s="757">
        <v>99.72</v>
      </c>
      <c r="N151" s="757">
        <f>ROUND(((D151*E151*2/3600)*(M151/100)),4)</f>
        <v>6.3E-3</v>
      </c>
      <c r="O151" s="757">
        <f>ROUND(((((H151*F151+I151*G151)/1000000)+(0.5*J151*(F151+G151)/1000000))*(M151/100)),5)</f>
        <v>2.7999999999999998E-4</v>
      </c>
      <c r="P151" s="812"/>
      <c r="Q151" s="812"/>
      <c r="R151" s="813">
        <v>10.388999999999999</v>
      </c>
      <c r="S151" s="813" t="s">
        <v>184</v>
      </c>
      <c r="T151" s="821"/>
    </row>
    <row r="152" spans="1:21" s="811" customFormat="1" ht="15" customHeight="1" x14ac:dyDescent="0.25">
      <c r="A152" s="1598"/>
      <c r="B152" s="1598"/>
      <c r="C152" s="820"/>
      <c r="D152" s="776"/>
      <c r="E152" s="776"/>
      <c r="F152" s="776"/>
      <c r="G152" s="776"/>
      <c r="H152" s="776"/>
      <c r="I152" s="776"/>
      <c r="J152" s="776"/>
      <c r="K152" s="777" t="s">
        <v>185</v>
      </c>
      <c r="L152" s="776" t="s">
        <v>186</v>
      </c>
      <c r="M152" s="776" t="s">
        <v>187</v>
      </c>
      <c r="N152" s="776">
        <f>ROUND(((D151*E151*2/3600)*(M152/100)),5)</f>
        <v>2.0000000000000002E-5</v>
      </c>
      <c r="O152" s="776">
        <f>ROUND(((((H151*F151+I151*G151)/1000000)+(0.5*J151*(F151+G151)/1000000))*(M152/100)),6)</f>
        <v>9.9999999999999995E-7</v>
      </c>
      <c r="P152" s="812"/>
      <c r="Q152" s="812"/>
      <c r="R152" s="835"/>
      <c r="S152" s="821"/>
      <c r="T152" s="821"/>
      <c r="U152" s="821"/>
    </row>
    <row r="153" spans="1:21" s="811" customFormat="1" ht="15" customHeight="1" x14ac:dyDescent="0.25">
      <c r="A153" s="1514" t="s">
        <v>255</v>
      </c>
      <c r="B153" s="1515"/>
      <c r="C153" s="1515"/>
      <c r="D153" s="1515"/>
      <c r="E153" s="1515"/>
      <c r="F153" s="1515"/>
      <c r="G153" s="1515"/>
      <c r="H153" s="1515"/>
      <c r="I153" s="1515"/>
      <c r="J153" s="1515"/>
      <c r="K153" s="1515"/>
      <c r="L153" s="1515"/>
      <c r="M153" s="1515"/>
      <c r="N153" s="1515"/>
      <c r="O153" s="1516"/>
      <c r="P153" s="813"/>
      <c r="Q153" s="813"/>
      <c r="R153" s="825"/>
      <c r="S153" s="822"/>
      <c r="T153" s="822"/>
      <c r="U153" s="821"/>
    </row>
    <row r="154" spans="1:21" s="811" customFormat="1" ht="15" customHeight="1" x14ac:dyDescent="0.25">
      <c r="A154" s="1202">
        <v>7058</v>
      </c>
      <c r="B154" s="1202" t="s">
        <v>181</v>
      </c>
      <c r="C154" s="816" t="s">
        <v>182</v>
      </c>
      <c r="D154" s="757">
        <v>3.6</v>
      </c>
      <c r="E154" s="757">
        <v>3.14</v>
      </c>
      <c r="F154" s="757">
        <v>2.2200000000000002</v>
      </c>
      <c r="G154" s="757">
        <v>14.234</v>
      </c>
      <c r="H154" s="757">
        <v>1.6</v>
      </c>
      <c r="I154" s="757">
        <v>2.2000000000000002</v>
      </c>
      <c r="J154" s="757">
        <v>50</v>
      </c>
      <c r="K154" s="817" t="s">
        <v>205</v>
      </c>
      <c r="L154" s="757">
        <v>2754</v>
      </c>
      <c r="M154" s="757">
        <v>99.72</v>
      </c>
      <c r="N154" s="757">
        <f>ROUND(((D154*E154*2/3600)*(M154/100)),4)</f>
        <v>6.3E-3</v>
      </c>
      <c r="O154" s="757">
        <f>ROUND(((((H154*F154+I154*G154)/1000000)+(0.5*J154*(F154+G154)/1000000))*(M154/100)),5)</f>
        <v>4.4000000000000002E-4</v>
      </c>
      <c r="P154" s="812"/>
      <c r="Q154" s="812"/>
      <c r="R154" s="813">
        <v>16.454000000000001</v>
      </c>
      <c r="S154" s="813" t="s">
        <v>184</v>
      </c>
      <c r="T154" s="821"/>
    </row>
    <row r="155" spans="1:21" s="811" customFormat="1" ht="15" customHeight="1" x14ac:dyDescent="0.25">
      <c r="A155" s="1598"/>
      <c r="B155" s="1598"/>
      <c r="C155" s="820"/>
      <c r="D155" s="776"/>
      <c r="E155" s="776"/>
      <c r="F155" s="776"/>
      <c r="G155" s="776"/>
      <c r="H155" s="776"/>
      <c r="I155" s="776"/>
      <c r="J155" s="776"/>
      <c r="K155" s="777" t="s">
        <v>185</v>
      </c>
      <c r="L155" s="776" t="s">
        <v>186</v>
      </c>
      <c r="M155" s="776" t="s">
        <v>187</v>
      </c>
      <c r="N155" s="776">
        <f>ROUND(((D154*E154*2/3600)*(M155/100)),5)</f>
        <v>2.0000000000000002E-5</v>
      </c>
      <c r="O155" s="776">
        <f>ROUND(((((H154*F154+I154*G154)/1000000)+(0.5*J154*(F154+G154)/1000000))*(M155/100)),6)</f>
        <v>9.9999999999999995E-7</v>
      </c>
      <c r="P155" s="812"/>
      <c r="Q155" s="812"/>
      <c r="R155" s="835"/>
      <c r="S155" s="821"/>
      <c r="T155" s="821"/>
      <c r="U155" s="821"/>
    </row>
    <row r="156" spans="1:21" s="811" customFormat="1" ht="15" customHeight="1" x14ac:dyDescent="0.25">
      <c r="A156" s="1514" t="s">
        <v>257</v>
      </c>
      <c r="B156" s="1515"/>
      <c r="C156" s="1515"/>
      <c r="D156" s="1515"/>
      <c r="E156" s="1515"/>
      <c r="F156" s="1515"/>
      <c r="G156" s="1515"/>
      <c r="H156" s="1515"/>
      <c r="I156" s="1515"/>
      <c r="J156" s="1515"/>
      <c r="K156" s="1515"/>
      <c r="L156" s="1515"/>
      <c r="M156" s="1515"/>
      <c r="N156" s="1515"/>
      <c r="O156" s="1516"/>
      <c r="P156" s="813"/>
      <c r="Q156" s="813"/>
      <c r="R156" s="825"/>
      <c r="S156" s="822"/>
      <c r="T156" s="822"/>
      <c r="U156" s="821"/>
    </row>
    <row r="157" spans="1:21" s="811" customFormat="1" ht="15" customHeight="1" x14ac:dyDescent="0.25">
      <c r="A157" s="1202">
        <v>7065</v>
      </c>
      <c r="B157" s="1202" t="s">
        <v>181</v>
      </c>
      <c r="C157" s="816" t="s">
        <v>182</v>
      </c>
      <c r="D157" s="757">
        <v>3.6</v>
      </c>
      <c r="E157" s="757">
        <v>3.14</v>
      </c>
      <c r="F157" s="757">
        <v>10.0815</v>
      </c>
      <c r="G157" s="757">
        <v>2.8925000000000001</v>
      </c>
      <c r="H157" s="757">
        <v>1.6</v>
      </c>
      <c r="I157" s="757">
        <v>2.2000000000000002</v>
      </c>
      <c r="J157" s="757">
        <v>50</v>
      </c>
      <c r="K157" s="817" t="s">
        <v>205</v>
      </c>
      <c r="L157" s="757">
        <v>2754</v>
      </c>
      <c r="M157" s="757">
        <v>99.72</v>
      </c>
      <c r="N157" s="757">
        <f>ROUND(((D157*E157*2/3600)*(M157/100)),4)</f>
        <v>6.3E-3</v>
      </c>
      <c r="O157" s="757">
        <f>ROUND(((((H157*F157+I157*G157)/1000000)+(0.5*J157*(F157+G157)/1000000))*(M157/100)),5)</f>
        <v>3.5E-4</v>
      </c>
      <c r="P157" s="812"/>
      <c r="Q157" s="812"/>
      <c r="R157" s="813">
        <v>12.974</v>
      </c>
      <c r="S157" s="813" t="s">
        <v>184</v>
      </c>
      <c r="T157" s="821"/>
    </row>
    <row r="158" spans="1:21" s="811" customFormat="1" ht="15" customHeight="1" x14ac:dyDescent="0.25">
      <c r="A158" s="1598"/>
      <c r="B158" s="1598"/>
      <c r="C158" s="820"/>
      <c r="D158" s="776"/>
      <c r="E158" s="776"/>
      <c r="F158" s="776"/>
      <c r="G158" s="776"/>
      <c r="H158" s="776"/>
      <c r="I158" s="776"/>
      <c r="J158" s="776"/>
      <c r="K158" s="777" t="s">
        <v>185</v>
      </c>
      <c r="L158" s="776" t="s">
        <v>186</v>
      </c>
      <c r="M158" s="776" t="s">
        <v>187</v>
      </c>
      <c r="N158" s="776">
        <f>ROUND(((D157*E157*2/3600)*(M158/100)),5)</f>
        <v>2.0000000000000002E-5</v>
      </c>
      <c r="O158" s="776">
        <f>ROUND(((((H157*F157+I157*G157)/1000000)+(0.5*J157*(F157+G157)/1000000))*(M158/100)),6)</f>
        <v>9.9999999999999995E-7</v>
      </c>
      <c r="P158" s="812"/>
      <c r="Q158" s="812"/>
      <c r="R158" s="835"/>
      <c r="S158" s="821"/>
      <c r="T158" s="821"/>
      <c r="U158" s="821"/>
    </row>
    <row r="159" spans="1:21" s="811" customFormat="1" ht="15" customHeight="1" x14ac:dyDescent="0.25">
      <c r="A159" s="1514" t="s">
        <v>261</v>
      </c>
      <c r="B159" s="1515"/>
      <c r="C159" s="1515"/>
      <c r="D159" s="1515"/>
      <c r="E159" s="1515"/>
      <c r="F159" s="1515"/>
      <c r="G159" s="1515"/>
      <c r="H159" s="1515"/>
      <c r="I159" s="1515"/>
      <c r="J159" s="1515"/>
      <c r="K159" s="1515"/>
      <c r="L159" s="1515"/>
      <c r="M159" s="1515"/>
      <c r="N159" s="1515"/>
      <c r="O159" s="1516"/>
      <c r="P159" s="813"/>
      <c r="Q159" s="813"/>
      <c r="R159" s="825"/>
      <c r="S159" s="822"/>
      <c r="T159" s="822"/>
      <c r="U159" s="821"/>
    </row>
    <row r="160" spans="1:21" s="811" customFormat="1" ht="15" customHeight="1" x14ac:dyDescent="0.25">
      <c r="A160" s="1202">
        <v>7076</v>
      </c>
      <c r="B160" s="1202" t="s">
        <v>181</v>
      </c>
      <c r="C160" s="816" t="s">
        <v>182</v>
      </c>
      <c r="D160" s="757">
        <v>3.6</v>
      </c>
      <c r="E160" s="757">
        <v>3.14</v>
      </c>
      <c r="F160" s="757">
        <v>6.5274999999999999</v>
      </c>
      <c r="G160" s="757">
        <v>11.583500000000001</v>
      </c>
      <c r="H160" s="757">
        <v>1.6</v>
      </c>
      <c r="I160" s="757">
        <v>2.2000000000000002</v>
      </c>
      <c r="J160" s="757">
        <v>50</v>
      </c>
      <c r="K160" s="817" t="s">
        <v>205</v>
      </c>
      <c r="L160" s="757">
        <v>2754</v>
      </c>
      <c r="M160" s="757">
        <v>99.72</v>
      </c>
      <c r="N160" s="757">
        <f>ROUND(((D160*E160*2/3600)*(M160/100)),4)</f>
        <v>6.3E-3</v>
      </c>
      <c r="O160" s="757">
        <f>ROUND(((((H160*F160+I160*G160)/1000000)+(0.5*J160*(F160+G160)/1000000))*(M160/100)),5)</f>
        <v>4.8999999999999998E-4</v>
      </c>
      <c r="P160" s="812"/>
      <c r="Q160" s="812"/>
      <c r="R160" s="813">
        <v>18.111000000000001</v>
      </c>
      <c r="S160" s="813" t="s">
        <v>184</v>
      </c>
      <c r="T160" s="821"/>
    </row>
    <row r="161" spans="1:21" s="811" customFormat="1" ht="15" customHeight="1" x14ac:dyDescent="0.25">
      <c r="A161" s="1598"/>
      <c r="B161" s="1598"/>
      <c r="C161" s="820"/>
      <c r="D161" s="776"/>
      <c r="E161" s="776"/>
      <c r="F161" s="776"/>
      <c r="G161" s="776"/>
      <c r="H161" s="776"/>
      <c r="I161" s="776"/>
      <c r="J161" s="776"/>
      <c r="K161" s="777" t="s">
        <v>185</v>
      </c>
      <c r="L161" s="776" t="s">
        <v>186</v>
      </c>
      <c r="M161" s="776" t="s">
        <v>187</v>
      </c>
      <c r="N161" s="776">
        <f>ROUND(((D160*E160*2/3600)*(M161/100)),5)</f>
        <v>2.0000000000000002E-5</v>
      </c>
      <c r="O161" s="776">
        <f>ROUND(((((H160*F160+I160*G160)/1000000)+(0.5*J160*(F160+G160)/1000000))*(M161/100)),6)</f>
        <v>9.9999999999999995E-7</v>
      </c>
      <c r="P161" s="812"/>
      <c r="Q161" s="812"/>
      <c r="R161" s="835"/>
      <c r="S161" s="821"/>
      <c r="T161" s="821"/>
      <c r="U161" s="821"/>
    </row>
    <row r="162" spans="1:21" s="811" customFormat="1" ht="15" customHeight="1" x14ac:dyDescent="0.25">
      <c r="A162" s="1514" t="s">
        <v>264</v>
      </c>
      <c r="B162" s="1515"/>
      <c r="C162" s="1515"/>
      <c r="D162" s="1515"/>
      <c r="E162" s="1515"/>
      <c r="F162" s="1515"/>
      <c r="G162" s="1515"/>
      <c r="H162" s="1515"/>
      <c r="I162" s="1515"/>
      <c r="J162" s="1515"/>
      <c r="K162" s="1515"/>
      <c r="L162" s="1515"/>
      <c r="M162" s="1515"/>
      <c r="N162" s="1515"/>
      <c r="O162" s="1516"/>
      <c r="P162" s="813"/>
      <c r="Q162" s="813"/>
      <c r="R162" s="825"/>
      <c r="S162" s="822"/>
      <c r="T162" s="822"/>
      <c r="U162" s="821"/>
    </row>
    <row r="163" spans="1:21" s="811" customFormat="1" ht="15" customHeight="1" x14ac:dyDescent="0.25">
      <c r="A163" s="1202">
        <v>7083</v>
      </c>
      <c r="B163" s="1202" t="s">
        <v>181</v>
      </c>
      <c r="C163" s="816" t="s">
        <v>182</v>
      </c>
      <c r="D163" s="757">
        <v>3.6</v>
      </c>
      <c r="E163" s="757">
        <v>3.14</v>
      </c>
      <c r="F163" s="757">
        <v>3.0150000000000001</v>
      </c>
      <c r="G163" s="757">
        <v>3.0150000000000001</v>
      </c>
      <c r="H163" s="757">
        <v>1.6</v>
      </c>
      <c r="I163" s="757">
        <v>2.2000000000000002</v>
      </c>
      <c r="J163" s="757">
        <v>50</v>
      </c>
      <c r="K163" s="817" t="s">
        <v>205</v>
      </c>
      <c r="L163" s="757">
        <v>2754</v>
      </c>
      <c r="M163" s="757">
        <v>99.72</v>
      </c>
      <c r="N163" s="757">
        <f>ROUND(((D163*E163*2/3600)*(M163/100)),4)</f>
        <v>6.3E-3</v>
      </c>
      <c r="O163" s="757">
        <f>ROUND(((((H163*F163+I163*G163)/1000000)+(0.5*J163*(F163+G163)/1000000))*(M163/100)),5)</f>
        <v>1.6000000000000001E-4</v>
      </c>
      <c r="P163" s="812"/>
      <c r="Q163" s="812"/>
      <c r="R163" s="813">
        <v>6.03</v>
      </c>
      <c r="S163" s="813" t="s">
        <v>184</v>
      </c>
      <c r="T163" s="821"/>
    </row>
    <row r="164" spans="1:21" s="811" customFormat="1" ht="15" customHeight="1" x14ac:dyDescent="0.25">
      <c r="A164" s="1598"/>
      <c r="B164" s="1598"/>
      <c r="C164" s="820"/>
      <c r="D164" s="776"/>
      <c r="E164" s="776"/>
      <c r="F164" s="776"/>
      <c r="G164" s="776"/>
      <c r="H164" s="776"/>
      <c r="I164" s="776"/>
      <c r="J164" s="776"/>
      <c r="K164" s="777" t="s">
        <v>185</v>
      </c>
      <c r="L164" s="776" t="s">
        <v>186</v>
      </c>
      <c r="M164" s="776" t="s">
        <v>187</v>
      </c>
      <c r="N164" s="776">
        <f>ROUND(((D163*E163*2/3600)*(M164/100)),5)</f>
        <v>2.0000000000000002E-5</v>
      </c>
      <c r="O164" s="776">
        <f>ROUND(((((H163*F163+I163*G163)/1000000)+(0.5*J163*(F163+G163)/1000000))*(M164/100)),7)</f>
        <v>4.9999999999999998E-7</v>
      </c>
      <c r="P164" s="812"/>
      <c r="Q164" s="812"/>
      <c r="R164" s="835"/>
      <c r="S164" s="821"/>
      <c r="T164" s="821"/>
      <c r="U164" s="821"/>
    </row>
    <row r="165" spans="1:21" s="811" customFormat="1" ht="15" customHeight="1" x14ac:dyDescent="0.25">
      <c r="A165" s="1514" t="s">
        <v>276</v>
      </c>
      <c r="B165" s="1515"/>
      <c r="C165" s="1515"/>
      <c r="D165" s="1515"/>
      <c r="E165" s="1515"/>
      <c r="F165" s="1515"/>
      <c r="G165" s="1515"/>
      <c r="H165" s="1515"/>
      <c r="I165" s="1515"/>
      <c r="J165" s="1515"/>
      <c r="K165" s="1515"/>
      <c r="L165" s="1515"/>
      <c r="M165" s="1515"/>
      <c r="N165" s="1515"/>
      <c r="O165" s="1516"/>
      <c r="P165" s="813"/>
      <c r="Q165" s="813"/>
      <c r="R165" s="825"/>
      <c r="S165" s="822"/>
      <c r="T165" s="822"/>
      <c r="U165" s="821"/>
    </row>
    <row r="166" spans="1:21" s="811" customFormat="1" ht="15" customHeight="1" x14ac:dyDescent="0.25">
      <c r="A166" s="1202">
        <v>7088</v>
      </c>
      <c r="B166" s="1202" t="s">
        <v>181</v>
      </c>
      <c r="C166" s="816" t="s">
        <v>182</v>
      </c>
      <c r="D166" s="757">
        <v>3.6</v>
      </c>
      <c r="E166" s="757">
        <v>3.14</v>
      </c>
      <c r="F166" s="757">
        <v>10.111000000000001</v>
      </c>
      <c r="G166" s="757">
        <v>15.095000000000001</v>
      </c>
      <c r="H166" s="757">
        <v>1.6</v>
      </c>
      <c r="I166" s="757">
        <v>2.2000000000000002</v>
      </c>
      <c r="J166" s="757">
        <v>50</v>
      </c>
      <c r="K166" s="817" t="s">
        <v>205</v>
      </c>
      <c r="L166" s="757">
        <v>2754</v>
      </c>
      <c r="M166" s="757">
        <v>99.72</v>
      </c>
      <c r="N166" s="757">
        <f>ROUND(((D166*E166*2/3600)*(M166/100)),4)</f>
        <v>6.3E-3</v>
      </c>
      <c r="O166" s="757">
        <f>ROUND(((((H166*F166+I166*G166)/1000000)+(0.5*J166*(F166+G166)/1000000))*(M166/100)),5)</f>
        <v>6.8000000000000005E-4</v>
      </c>
      <c r="P166" s="812"/>
      <c r="Q166" s="812"/>
      <c r="R166" s="813">
        <v>25.206</v>
      </c>
      <c r="S166" s="813" t="s">
        <v>184</v>
      </c>
      <c r="T166" s="821"/>
    </row>
    <row r="167" spans="1:21" s="811" customFormat="1" ht="15" customHeight="1" x14ac:dyDescent="0.25">
      <c r="A167" s="1598"/>
      <c r="B167" s="1598"/>
      <c r="C167" s="820"/>
      <c r="D167" s="776"/>
      <c r="E167" s="776"/>
      <c r="F167" s="776"/>
      <c r="G167" s="776"/>
      <c r="H167" s="776"/>
      <c r="I167" s="776"/>
      <c r="J167" s="776"/>
      <c r="K167" s="777" t="s">
        <v>185</v>
      </c>
      <c r="L167" s="776" t="s">
        <v>186</v>
      </c>
      <c r="M167" s="776" t="s">
        <v>187</v>
      </c>
      <c r="N167" s="776">
        <f>ROUND(((D166*E166*2/3600)*(M167/100)),5)</f>
        <v>2.0000000000000002E-5</v>
      </c>
      <c r="O167" s="776">
        <f>ROUND(((((H166*F166+I166*G166)/1000000)+(0.5*J166*(F166+G166)/1000000))*(M167/100)),6)</f>
        <v>1.9999999999999999E-6</v>
      </c>
      <c r="P167" s="812"/>
      <c r="Q167" s="812"/>
      <c r="R167" s="835"/>
      <c r="S167" s="821"/>
      <c r="T167" s="821"/>
      <c r="U167" s="821"/>
    </row>
    <row r="168" spans="1:21" s="811" customFormat="1" ht="15" customHeight="1" x14ac:dyDescent="0.25">
      <c r="A168" s="1514" t="s">
        <v>284</v>
      </c>
      <c r="B168" s="1515"/>
      <c r="C168" s="1515"/>
      <c r="D168" s="1515"/>
      <c r="E168" s="1515"/>
      <c r="F168" s="1515"/>
      <c r="G168" s="1515"/>
      <c r="H168" s="1515"/>
      <c r="I168" s="1515"/>
      <c r="J168" s="1515"/>
      <c r="K168" s="1515"/>
      <c r="L168" s="1515"/>
      <c r="M168" s="1515"/>
      <c r="N168" s="1515"/>
      <c r="O168" s="1516"/>
      <c r="P168" s="813"/>
      <c r="Q168" s="813"/>
      <c r="R168" s="825"/>
      <c r="S168" s="822"/>
      <c r="T168" s="822"/>
      <c r="U168" s="821"/>
    </row>
    <row r="169" spans="1:21" s="811" customFormat="1" ht="15" customHeight="1" x14ac:dyDescent="0.25">
      <c r="A169" s="1202">
        <v>7095</v>
      </c>
      <c r="B169" s="1202" t="s">
        <v>181</v>
      </c>
      <c r="C169" s="816" t="s">
        <v>182</v>
      </c>
      <c r="D169" s="757">
        <v>3.6</v>
      </c>
      <c r="E169" s="757">
        <v>3.14</v>
      </c>
      <c r="F169" s="757">
        <v>6.0945</v>
      </c>
      <c r="G169" s="757">
        <v>9.6805000000000003</v>
      </c>
      <c r="H169" s="757">
        <v>1.6</v>
      </c>
      <c r="I169" s="757">
        <v>2.2000000000000002</v>
      </c>
      <c r="J169" s="757">
        <v>50</v>
      </c>
      <c r="K169" s="817" t="s">
        <v>205</v>
      </c>
      <c r="L169" s="757">
        <v>2754</v>
      </c>
      <c r="M169" s="757">
        <v>99.72</v>
      </c>
      <c r="N169" s="757">
        <f>ROUND(((D169*E169*2/3600)*(M169/100)),4)</f>
        <v>6.3E-3</v>
      </c>
      <c r="O169" s="757">
        <f>ROUND(((((H169*F169+I169*G169)/1000000)+(0.5*J169*(F169+G169)/1000000))*(M169/100)),5)</f>
        <v>4.2000000000000002E-4</v>
      </c>
      <c r="P169" s="812"/>
      <c r="Q169" s="812"/>
      <c r="R169" s="813">
        <v>15.775</v>
      </c>
      <c r="S169" s="813" t="s">
        <v>184</v>
      </c>
      <c r="T169" s="821"/>
    </row>
    <row r="170" spans="1:21" s="811" customFormat="1" ht="15" customHeight="1" x14ac:dyDescent="0.25">
      <c r="A170" s="1598"/>
      <c r="B170" s="1598"/>
      <c r="C170" s="820"/>
      <c r="D170" s="776"/>
      <c r="E170" s="776"/>
      <c r="F170" s="776"/>
      <c r="G170" s="776"/>
      <c r="H170" s="776"/>
      <c r="I170" s="776"/>
      <c r="J170" s="776"/>
      <c r="K170" s="777" t="s">
        <v>185</v>
      </c>
      <c r="L170" s="776" t="s">
        <v>186</v>
      </c>
      <c r="M170" s="776" t="s">
        <v>187</v>
      </c>
      <c r="N170" s="776">
        <f>ROUND(((D169*E169*2/3600)*(M170/100)),5)</f>
        <v>2.0000000000000002E-5</v>
      </c>
      <c r="O170" s="776">
        <f>ROUND(((((H169*F169+I169*G169)/1000000)+(0.5*J169*(F169+G169)/1000000))*(M170/100)),6)</f>
        <v>9.9999999999999995E-7</v>
      </c>
      <c r="P170" s="812"/>
      <c r="Q170" s="812"/>
      <c r="R170" s="835"/>
      <c r="S170" s="821"/>
      <c r="T170" s="821"/>
      <c r="U170" s="821"/>
    </row>
    <row r="171" spans="1:21" s="811" customFormat="1" ht="15" customHeight="1" x14ac:dyDescent="0.25">
      <c r="A171" s="1514" t="s">
        <v>291</v>
      </c>
      <c r="B171" s="1515"/>
      <c r="C171" s="1515"/>
      <c r="D171" s="1515"/>
      <c r="E171" s="1515"/>
      <c r="F171" s="1515"/>
      <c r="G171" s="1515"/>
      <c r="H171" s="1515"/>
      <c r="I171" s="1515"/>
      <c r="J171" s="1515"/>
      <c r="K171" s="1515"/>
      <c r="L171" s="1515"/>
      <c r="M171" s="1515"/>
      <c r="N171" s="1515"/>
      <c r="O171" s="1516"/>
      <c r="P171" s="813"/>
      <c r="Q171" s="813"/>
      <c r="R171" s="825"/>
      <c r="S171" s="822"/>
      <c r="T171" s="822"/>
      <c r="U171" s="821"/>
    </row>
    <row r="172" spans="1:21" s="811" customFormat="1" ht="15" customHeight="1" x14ac:dyDescent="0.25">
      <c r="A172" s="1202">
        <v>7114</v>
      </c>
      <c r="B172" s="1202" t="s">
        <v>181</v>
      </c>
      <c r="C172" s="816" t="s">
        <v>182</v>
      </c>
      <c r="D172" s="757">
        <v>3.6</v>
      </c>
      <c r="E172" s="757">
        <v>3.14</v>
      </c>
      <c r="F172" s="757">
        <v>25.911999999999999</v>
      </c>
      <c r="G172" s="757">
        <v>25.911999999999999</v>
      </c>
      <c r="H172" s="757">
        <v>1.6</v>
      </c>
      <c r="I172" s="757">
        <v>2.2000000000000002</v>
      </c>
      <c r="J172" s="757">
        <v>50</v>
      </c>
      <c r="K172" s="817" t="s">
        <v>205</v>
      </c>
      <c r="L172" s="757">
        <v>2754</v>
      </c>
      <c r="M172" s="757">
        <v>99.72</v>
      </c>
      <c r="N172" s="757">
        <f>ROUND(((D172*E172*2/3600)*(M172/100)),4)</f>
        <v>6.3E-3</v>
      </c>
      <c r="O172" s="757">
        <f>ROUND(((((H172*F172+I172*G172)/1000000)+(0.5*J172*(F172+G172)/1000000))*(M172/100)),5)</f>
        <v>1.39E-3</v>
      </c>
      <c r="P172" s="812"/>
      <c r="Q172" s="812"/>
      <c r="R172" s="813">
        <v>51.823999999999998</v>
      </c>
      <c r="S172" s="813" t="s">
        <v>184</v>
      </c>
      <c r="T172" s="821"/>
      <c r="U172" s="821"/>
    </row>
    <row r="173" spans="1:21" s="811" customFormat="1" ht="15" customHeight="1" x14ac:dyDescent="0.25">
      <c r="A173" s="1598"/>
      <c r="B173" s="1598"/>
      <c r="C173" s="820"/>
      <c r="D173" s="776"/>
      <c r="E173" s="776"/>
      <c r="F173" s="776"/>
      <c r="G173" s="776"/>
      <c r="H173" s="776"/>
      <c r="I173" s="776"/>
      <c r="J173" s="776"/>
      <c r="K173" s="777" t="s">
        <v>185</v>
      </c>
      <c r="L173" s="776" t="s">
        <v>186</v>
      </c>
      <c r="M173" s="776" t="s">
        <v>187</v>
      </c>
      <c r="N173" s="776">
        <f>ROUND(((D172*E172*2/3600)*(M173/100)),5)</f>
        <v>2.0000000000000002E-5</v>
      </c>
      <c r="O173" s="776">
        <f>ROUND(((((H172*F172+I172*G172)/1000000)+(0.5*J172*(F172+G172)/1000000))*(M173/100)),6)</f>
        <v>3.9999999999999998E-6</v>
      </c>
      <c r="P173" s="812"/>
      <c r="Q173" s="812"/>
      <c r="R173" s="835"/>
      <c r="S173" s="821"/>
      <c r="T173" s="821"/>
      <c r="U173" s="821"/>
    </row>
    <row r="174" spans="1:21" s="811" customFormat="1" ht="15" customHeight="1" x14ac:dyDescent="0.25">
      <c r="A174" s="1514" t="s">
        <v>302</v>
      </c>
      <c r="B174" s="1515"/>
      <c r="C174" s="1515"/>
      <c r="D174" s="1515"/>
      <c r="E174" s="1515"/>
      <c r="F174" s="1515"/>
      <c r="G174" s="1515"/>
      <c r="H174" s="1515"/>
      <c r="I174" s="1515"/>
      <c r="J174" s="1515"/>
      <c r="K174" s="1515"/>
      <c r="L174" s="1515"/>
      <c r="M174" s="1515"/>
      <c r="N174" s="1515"/>
      <c r="O174" s="1516"/>
      <c r="P174" s="813"/>
      <c r="Q174" s="813"/>
      <c r="R174" s="825"/>
      <c r="S174" s="822"/>
      <c r="T174" s="822"/>
      <c r="U174" s="821"/>
    </row>
    <row r="175" spans="1:21" s="811" customFormat="1" ht="15" customHeight="1" x14ac:dyDescent="0.25">
      <c r="A175" s="1202">
        <v>7120</v>
      </c>
      <c r="B175" s="1202" t="s">
        <v>181</v>
      </c>
      <c r="C175" s="816" t="s">
        <v>182</v>
      </c>
      <c r="D175" s="757">
        <v>3.6</v>
      </c>
      <c r="E175" s="757">
        <v>3.14</v>
      </c>
      <c r="F175" s="757">
        <v>27.576000000000001</v>
      </c>
      <c r="G175" s="757">
        <v>0</v>
      </c>
      <c r="H175" s="757">
        <v>1.6</v>
      </c>
      <c r="I175" s="757">
        <v>2.2000000000000002</v>
      </c>
      <c r="J175" s="757">
        <v>50</v>
      </c>
      <c r="K175" s="817" t="s">
        <v>205</v>
      </c>
      <c r="L175" s="757">
        <v>2754</v>
      </c>
      <c r="M175" s="757">
        <v>99.72</v>
      </c>
      <c r="N175" s="757">
        <f>ROUND(((D175*E175*2/3600)*(M175/100)),4)</f>
        <v>6.3E-3</v>
      </c>
      <c r="O175" s="757">
        <f>ROUND(((((H175*F175+I175*G175)/1000000)+(0.5*J175*(F175+G175)/1000000))*(M175/100)),5)</f>
        <v>7.2999999999999996E-4</v>
      </c>
      <c r="P175" s="812"/>
      <c r="Q175" s="812"/>
      <c r="R175" s="813">
        <v>27.576000000000001</v>
      </c>
      <c r="S175" s="813" t="s">
        <v>184</v>
      </c>
      <c r="T175" s="821"/>
    </row>
    <row r="176" spans="1:21" s="811" customFormat="1" ht="15" customHeight="1" x14ac:dyDescent="0.2">
      <c r="A176" s="1598"/>
      <c r="B176" s="1598"/>
      <c r="C176" s="820"/>
      <c r="D176" s="776"/>
      <c r="E176" s="776"/>
      <c r="F176" s="776"/>
      <c r="G176" s="776"/>
      <c r="H176" s="776"/>
      <c r="I176" s="776"/>
      <c r="J176" s="776"/>
      <c r="K176" s="777" t="s">
        <v>185</v>
      </c>
      <c r="L176" s="776" t="s">
        <v>186</v>
      </c>
      <c r="M176" s="776" t="s">
        <v>187</v>
      </c>
      <c r="N176" s="776">
        <f>ROUND(((D175*E175*2/3600)*(M176/100)),5)</f>
        <v>2.0000000000000002E-5</v>
      </c>
      <c r="O176" s="776">
        <f>ROUND(((((H175*F175+I175*G175)/1000000)+(0.5*J175*(F175+G175)/1000000))*(M176/100)),6)</f>
        <v>1.9999999999999999E-6</v>
      </c>
      <c r="P176" s="832">
        <f>SUM(N130:N176)</f>
        <v>0.10112000000000003</v>
      </c>
      <c r="Q176" s="833">
        <f>SUM(O130:O176)</f>
        <v>1.5351499999999997E-2</v>
      </c>
      <c r="R176" s="834">
        <v>2028</v>
      </c>
      <c r="S176" s="821"/>
      <c r="T176" s="821"/>
      <c r="U176" s="821"/>
    </row>
    <row r="177" spans="1:20" s="811" customFormat="1" ht="15" customHeight="1" x14ac:dyDescent="0.25">
      <c r="A177" s="1599" t="s">
        <v>63</v>
      </c>
      <c r="B177" s="1600"/>
      <c r="C177" s="1600"/>
      <c r="D177" s="1600"/>
      <c r="E177" s="1600"/>
      <c r="F177" s="1600"/>
      <c r="G177" s="1600"/>
      <c r="H177" s="1600"/>
      <c r="I177" s="1600"/>
      <c r="J177" s="1600"/>
      <c r="K177" s="1600"/>
      <c r="L177" s="1600"/>
      <c r="M177" s="1600"/>
      <c r="N177" s="1600"/>
      <c r="O177" s="1601"/>
      <c r="P177" s="813"/>
      <c r="Q177" s="813"/>
      <c r="R177" s="835"/>
      <c r="S177" s="821"/>
      <c r="T177" s="821"/>
    </row>
    <row r="178" spans="1:20" s="811" customFormat="1" ht="15" customHeight="1" x14ac:dyDescent="0.25">
      <c r="A178" s="1514" t="s">
        <v>8</v>
      </c>
      <c r="B178" s="1515"/>
      <c r="C178" s="1515"/>
      <c r="D178" s="1515"/>
      <c r="E178" s="1515"/>
      <c r="F178" s="1515"/>
      <c r="G178" s="1515"/>
      <c r="H178" s="1515"/>
      <c r="I178" s="1515"/>
      <c r="J178" s="1515"/>
      <c r="K178" s="1515"/>
      <c r="L178" s="1515"/>
      <c r="M178" s="1515"/>
      <c r="N178" s="1515"/>
      <c r="O178" s="1516"/>
      <c r="P178" s="813"/>
      <c r="Q178" s="813"/>
      <c r="R178" s="825"/>
      <c r="S178" s="822"/>
      <c r="T178" s="822"/>
    </row>
    <row r="179" spans="1:20" s="811" customFormat="1" ht="15" customHeight="1" x14ac:dyDescent="0.25">
      <c r="A179" s="1202">
        <v>7008</v>
      </c>
      <c r="B179" s="1202" t="s">
        <v>181</v>
      </c>
      <c r="C179" s="816" t="s">
        <v>182</v>
      </c>
      <c r="D179" s="757">
        <v>3.6</v>
      </c>
      <c r="E179" s="757">
        <v>3.14</v>
      </c>
      <c r="F179" s="757">
        <v>25.172000000000001</v>
      </c>
      <c r="G179" s="757">
        <v>12.119</v>
      </c>
      <c r="H179" s="757">
        <v>1.6</v>
      </c>
      <c r="I179" s="757">
        <v>2.2000000000000002</v>
      </c>
      <c r="J179" s="757">
        <v>50</v>
      </c>
      <c r="K179" s="817" t="s">
        <v>205</v>
      </c>
      <c r="L179" s="757">
        <v>2754</v>
      </c>
      <c r="M179" s="757">
        <v>99.72</v>
      </c>
      <c r="N179" s="757">
        <f>ROUND(((D179*E179*2/3600)*(M179/100)),4)</f>
        <v>6.3E-3</v>
      </c>
      <c r="O179" s="757">
        <f>ROUND(((((H179*F179+I179*G179)/1000000)+(0.5*J179*(F179+G179)/1000000))*(M179/100)),5)</f>
        <v>1E-3</v>
      </c>
      <c r="P179" s="812"/>
      <c r="Q179" s="812"/>
      <c r="R179" s="813">
        <v>37.290999999999997</v>
      </c>
      <c r="S179" s="813" t="s">
        <v>184</v>
      </c>
      <c r="T179" s="821"/>
    </row>
    <row r="180" spans="1:20" s="811" customFormat="1" ht="15" customHeight="1" x14ac:dyDescent="0.25">
      <c r="A180" s="1598"/>
      <c r="B180" s="1598"/>
      <c r="C180" s="820"/>
      <c r="D180" s="776"/>
      <c r="E180" s="776"/>
      <c r="F180" s="776"/>
      <c r="G180" s="776"/>
      <c r="H180" s="776"/>
      <c r="I180" s="776"/>
      <c r="J180" s="776"/>
      <c r="K180" s="777" t="s">
        <v>185</v>
      </c>
      <c r="L180" s="776" t="s">
        <v>186</v>
      </c>
      <c r="M180" s="776" t="s">
        <v>187</v>
      </c>
      <c r="N180" s="776">
        <f>ROUND(((D179*E179*2/3600)*(M180/100)),5)</f>
        <v>2.0000000000000002E-5</v>
      </c>
      <c r="O180" s="776">
        <f>ROUND(((((H179*F179+I179*G179)/1000000)+(0.5*J179*(F179+G179)/1000000))*(M180/100)),6)</f>
        <v>3.0000000000000001E-6</v>
      </c>
      <c r="P180" s="812"/>
      <c r="Q180" s="812"/>
      <c r="R180" s="835"/>
      <c r="S180" s="821"/>
      <c r="T180" s="821"/>
    </row>
    <row r="181" spans="1:20" s="811" customFormat="1" ht="15" customHeight="1" x14ac:dyDescent="0.25">
      <c r="A181" s="1514" t="s">
        <v>213</v>
      </c>
      <c r="B181" s="1515"/>
      <c r="C181" s="1515"/>
      <c r="D181" s="1515"/>
      <c r="E181" s="1515"/>
      <c r="F181" s="1515"/>
      <c r="G181" s="1515"/>
      <c r="H181" s="1515"/>
      <c r="I181" s="1515"/>
      <c r="J181" s="1515"/>
      <c r="K181" s="1515"/>
      <c r="L181" s="1515"/>
      <c r="M181" s="1515"/>
      <c r="N181" s="1515"/>
      <c r="O181" s="1516"/>
      <c r="P181" s="813"/>
      <c r="Q181" s="813"/>
      <c r="R181" s="825"/>
      <c r="S181" s="822"/>
      <c r="T181" s="822"/>
    </row>
    <row r="182" spans="1:20" s="811" customFormat="1" ht="15" customHeight="1" x14ac:dyDescent="0.25">
      <c r="A182" s="1202">
        <v>7024</v>
      </c>
      <c r="B182" s="1202" t="s">
        <v>181</v>
      </c>
      <c r="C182" s="816" t="s">
        <v>182</v>
      </c>
      <c r="D182" s="757">
        <v>3.6</v>
      </c>
      <c r="E182" s="757">
        <v>3.14</v>
      </c>
      <c r="F182" s="757">
        <v>6.4634999999999998</v>
      </c>
      <c r="G182" s="757">
        <v>3.0405000000000002</v>
      </c>
      <c r="H182" s="757">
        <v>1.6</v>
      </c>
      <c r="I182" s="757">
        <v>2.2000000000000002</v>
      </c>
      <c r="J182" s="757">
        <v>50</v>
      </c>
      <c r="K182" s="817" t="s">
        <v>205</v>
      </c>
      <c r="L182" s="757">
        <v>2754</v>
      </c>
      <c r="M182" s="757">
        <v>99.72</v>
      </c>
      <c r="N182" s="757">
        <f>ROUND(((D182*E182*2/3600)*(M182/100)),4)</f>
        <v>6.3E-3</v>
      </c>
      <c r="O182" s="757">
        <f>ROUND(((((H182*F182+I182*G182)/1000000)+(0.5*J182*(F182+G182)/1000000))*(M182/100)),5)</f>
        <v>2.5000000000000001E-4</v>
      </c>
      <c r="P182" s="812"/>
      <c r="Q182" s="812"/>
      <c r="R182" s="813">
        <v>9.5039999999999996</v>
      </c>
      <c r="S182" s="813" t="s">
        <v>184</v>
      </c>
      <c r="T182" s="821"/>
    </row>
    <row r="183" spans="1:20" s="811" customFormat="1" ht="15" customHeight="1" x14ac:dyDescent="0.25">
      <c r="A183" s="1598"/>
      <c r="B183" s="1598"/>
      <c r="C183" s="820"/>
      <c r="D183" s="776"/>
      <c r="E183" s="776"/>
      <c r="F183" s="776"/>
      <c r="G183" s="776"/>
      <c r="H183" s="776"/>
      <c r="I183" s="776"/>
      <c r="J183" s="776"/>
      <c r="K183" s="777" t="s">
        <v>185</v>
      </c>
      <c r="L183" s="776" t="s">
        <v>186</v>
      </c>
      <c r="M183" s="776" t="s">
        <v>187</v>
      </c>
      <c r="N183" s="776">
        <f>ROUND(((D182*E182*2/3600)*(M183/100)),5)</f>
        <v>2.0000000000000002E-5</v>
      </c>
      <c r="O183" s="776">
        <f>ROUND(((((H182*F182+I182*G182)/1000000)+(0.5*J182*(F182+G182)/1000000))*(M183/100)),6)</f>
        <v>9.9999999999999995E-7</v>
      </c>
      <c r="P183" s="812"/>
      <c r="Q183" s="812"/>
      <c r="R183" s="835"/>
      <c r="S183" s="821"/>
      <c r="T183" s="821"/>
    </row>
    <row r="184" spans="1:20" s="811" customFormat="1" ht="15" customHeight="1" x14ac:dyDescent="0.25">
      <c r="A184" s="1514" t="s">
        <v>215</v>
      </c>
      <c r="B184" s="1515"/>
      <c r="C184" s="1515"/>
      <c r="D184" s="1515"/>
      <c r="E184" s="1515"/>
      <c r="F184" s="1515"/>
      <c r="G184" s="1515"/>
      <c r="H184" s="1515"/>
      <c r="I184" s="1515"/>
      <c r="J184" s="1515"/>
      <c r="K184" s="1515"/>
      <c r="L184" s="1515"/>
      <c r="M184" s="1515"/>
      <c r="N184" s="1515"/>
      <c r="O184" s="1516"/>
      <c r="P184" s="813"/>
      <c r="Q184" s="813"/>
      <c r="R184" s="825"/>
      <c r="S184" s="822"/>
      <c r="T184" s="822"/>
    </row>
    <row r="185" spans="1:20" s="811" customFormat="1" ht="15" customHeight="1" x14ac:dyDescent="0.25">
      <c r="A185" s="1202">
        <v>7031</v>
      </c>
      <c r="B185" s="1202" t="s">
        <v>181</v>
      </c>
      <c r="C185" s="816" t="s">
        <v>182</v>
      </c>
      <c r="D185" s="757">
        <v>3.6</v>
      </c>
      <c r="E185" s="757">
        <v>3.14</v>
      </c>
      <c r="F185" s="757">
        <v>4.3734999999999999</v>
      </c>
      <c r="G185" s="757">
        <v>1.8025</v>
      </c>
      <c r="H185" s="757">
        <v>1.6</v>
      </c>
      <c r="I185" s="757">
        <v>2.2000000000000002</v>
      </c>
      <c r="J185" s="757">
        <v>50</v>
      </c>
      <c r="K185" s="817" t="s">
        <v>205</v>
      </c>
      <c r="L185" s="757">
        <v>2754</v>
      </c>
      <c r="M185" s="757">
        <v>99.72</v>
      </c>
      <c r="N185" s="757">
        <f>ROUND(((D185*E185*2/3600)*(M185/100)),4)</f>
        <v>6.3E-3</v>
      </c>
      <c r="O185" s="757">
        <f>ROUND(((((H185*F185+I185*G185)/1000000)+(0.5*J185*(F185+G185)/1000000))*(M185/100)),5)</f>
        <v>1.6000000000000001E-4</v>
      </c>
      <c r="P185" s="812"/>
      <c r="Q185" s="812"/>
      <c r="R185" s="813">
        <v>6.1760000000000002</v>
      </c>
      <c r="S185" s="813" t="s">
        <v>184</v>
      </c>
      <c r="T185" s="821"/>
    </row>
    <row r="186" spans="1:20" s="811" customFormat="1" ht="15" customHeight="1" x14ac:dyDescent="0.25">
      <c r="A186" s="1598"/>
      <c r="B186" s="1598"/>
      <c r="C186" s="820"/>
      <c r="D186" s="776"/>
      <c r="E186" s="776"/>
      <c r="F186" s="776"/>
      <c r="G186" s="776"/>
      <c r="H186" s="776"/>
      <c r="I186" s="776"/>
      <c r="J186" s="776"/>
      <c r="K186" s="777" t="s">
        <v>185</v>
      </c>
      <c r="L186" s="776" t="s">
        <v>186</v>
      </c>
      <c r="M186" s="776" t="s">
        <v>187</v>
      </c>
      <c r="N186" s="776">
        <f>ROUND(((D185*E185*2/3600)*(M186/100)),5)</f>
        <v>2.0000000000000002E-5</v>
      </c>
      <c r="O186" s="776">
        <f>ROUND(((((H185*F185+I185*G185)/1000000)+(0.5*J185*(F185+G185)/1000000))*(M186/100)),7)</f>
        <v>4.9999999999999998E-7</v>
      </c>
      <c r="P186" s="812"/>
      <c r="Q186" s="812"/>
      <c r="R186" s="835"/>
      <c r="S186" s="821"/>
      <c r="T186" s="821"/>
    </row>
    <row r="187" spans="1:20" s="811" customFormat="1" ht="15" customHeight="1" x14ac:dyDescent="0.25">
      <c r="A187" s="1514" t="s">
        <v>264</v>
      </c>
      <c r="B187" s="1515"/>
      <c r="C187" s="1515"/>
      <c r="D187" s="1515"/>
      <c r="E187" s="1515"/>
      <c r="F187" s="1515"/>
      <c r="G187" s="1515"/>
      <c r="H187" s="1515"/>
      <c r="I187" s="1515"/>
      <c r="J187" s="1515"/>
      <c r="K187" s="1515"/>
      <c r="L187" s="1515"/>
      <c r="M187" s="1515"/>
      <c r="N187" s="1515"/>
      <c r="O187" s="1516"/>
      <c r="P187" s="813"/>
      <c r="Q187" s="813"/>
      <c r="R187" s="825"/>
      <c r="S187" s="822"/>
      <c r="T187" s="822"/>
    </row>
    <row r="188" spans="1:20" s="811" customFormat="1" ht="15" customHeight="1" x14ac:dyDescent="0.25">
      <c r="A188" s="1202">
        <v>7083</v>
      </c>
      <c r="B188" s="1202" t="s">
        <v>181</v>
      </c>
      <c r="C188" s="816" t="s">
        <v>182</v>
      </c>
      <c r="D188" s="757">
        <v>3.6</v>
      </c>
      <c r="E188" s="757">
        <v>3.14</v>
      </c>
      <c r="F188" s="757">
        <v>4.673</v>
      </c>
      <c r="G188" s="757">
        <v>0</v>
      </c>
      <c r="H188" s="757">
        <v>1.6</v>
      </c>
      <c r="I188" s="757">
        <v>2.2000000000000002</v>
      </c>
      <c r="J188" s="757">
        <v>50</v>
      </c>
      <c r="K188" s="817" t="s">
        <v>205</v>
      </c>
      <c r="L188" s="757">
        <v>2754</v>
      </c>
      <c r="M188" s="757">
        <v>99.72</v>
      </c>
      <c r="N188" s="757">
        <f>ROUND(((D188*E188*2/3600)*(M188/100)),4)</f>
        <v>6.3E-3</v>
      </c>
      <c r="O188" s="757">
        <f>ROUND(((((H188*F188+I188*G188)/1000000)+(0.5*J188*(F188+G188)/1000000))*(M188/100)),5)</f>
        <v>1.2E-4</v>
      </c>
      <c r="P188" s="812"/>
      <c r="Q188" s="812"/>
      <c r="R188" s="813">
        <v>4.673</v>
      </c>
      <c r="S188" s="813" t="s">
        <v>184</v>
      </c>
      <c r="T188" s="821"/>
    </row>
    <row r="189" spans="1:20" s="811" customFormat="1" ht="15" customHeight="1" x14ac:dyDescent="0.25">
      <c r="A189" s="1598"/>
      <c r="B189" s="1598"/>
      <c r="C189" s="820"/>
      <c r="D189" s="776"/>
      <c r="E189" s="776"/>
      <c r="F189" s="776"/>
      <c r="G189" s="776"/>
      <c r="H189" s="776"/>
      <c r="I189" s="776"/>
      <c r="J189" s="776"/>
      <c r="K189" s="777" t="s">
        <v>185</v>
      </c>
      <c r="L189" s="776" t="s">
        <v>186</v>
      </c>
      <c r="M189" s="776" t="s">
        <v>187</v>
      </c>
      <c r="N189" s="776">
        <f>ROUND(((D188*E188*2/3600)*(M189/100)),5)</f>
        <v>2.0000000000000002E-5</v>
      </c>
      <c r="O189" s="776">
        <f>ROUND(((((H188*F188+I188*G188)/1000000)+(0.5*J188*(F188+G188)/1000000))*(M189/100)),7)</f>
        <v>2.9999999999999999E-7</v>
      </c>
      <c r="P189" s="812"/>
      <c r="Q189" s="812"/>
      <c r="R189" s="835"/>
      <c r="S189" s="821"/>
      <c r="T189" s="821"/>
    </row>
    <row r="190" spans="1:20" s="811" customFormat="1" ht="15" customHeight="1" x14ac:dyDescent="0.25">
      <c r="A190" s="1514" t="s">
        <v>276</v>
      </c>
      <c r="B190" s="1515"/>
      <c r="C190" s="1515"/>
      <c r="D190" s="1515"/>
      <c r="E190" s="1515"/>
      <c r="F190" s="1515"/>
      <c r="G190" s="1515"/>
      <c r="H190" s="1515"/>
      <c r="I190" s="1515"/>
      <c r="J190" s="1515"/>
      <c r="K190" s="1515"/>
      <c r="L190" s="1515"/>
      <c r="M190" s="1515"/>
      <c r="N190" s="1515"/>
      <c r="O190" s="1516"/>
      <c r="P190" s="813"/>
      <c r="Q190" s="813"/>
      <c r="R190" s="825"/>
      <c r="S190" s="822"/>
      <c r="T190" s="822"/>
    </row>
    <row r="191" spans="1:20" s="811" customFormat="1" ht="15" customHeight="1" x14ac:dyDescent="0.25">
      <c r="A191" s="1202">
        <v>7088</v>
      </c>
      <c r="B191" s="1202" t="s">
        <v>181</v>
      </c>
      <c r="C191" s="816" t="s">
        <v>182</v>
      </c>
      <c r="D191" s="757">
        <v>3.6</v>
      </c>
      <c r="E191" s="757">
        <v>3.14</v>
      </c>
      <c r="F191" s="757">
        <v>17.585999999999999</v>
      </c>
      <c r="G191" s="757">
        <v>0</v>
      </c>
      <c r="H191" s="757">
        <v>1.6</v>
      </c>
      <c r="I191" s="757">
        <v>2.2000000000000002</v>
      </c>
      <c r="J191" s="757">
        <v>50</v>
      </c>
      <c r="K191" s="817" t="s">
        <v>205</v>
      </c>
      <c r="L191" s="757">
        <v>2754</v>
      </c>
      <c r="M191" s="757">
        <v>99.72</v>
      </c>
      <c r="N191" s="757">
        <f>ROUND(((D191*E191*2/3600)*(M191/100)),4)</f>
        <v>6.3E-3</v>
      </c>
      <c r="O191" s="757">
        <f>ROUND(((((H191*F191+I191*G191)/1000000)+(0.5*J191*(F191+G191)/1000000))*(M191/100)),5)</f>
        <v>4.6999999999999999E-4</v>
      </c>
      <c r="P191" s="812"/>
      <c r="Q191" s="812"/>
      <c r="R191" s="813">
        <v>17.585999999999999</v>
      </c>
      <c r="S191" s="813" t="s">
        <v>184</v>
      </c>
      <c r="T191" s="821"/>
    </row>
    <row r="192" spans="1:20" s="811" customFormat="1" ht="15" customHeight="1" x14ac:dyDescent="0.25">
      <c r="A192" s="1598"/>
      <c r="B192" s="1598"/>
      <c r="C192" s="820"/>
      <c r="D192" s="776"/>
      <c r="E192" s="776"/>
      <c r="F192" s="776"/>
      <c r="G192" s="776"/>
      <c r="H192" s="776"/>
      <c r="I192" s="776"/>
      <c r="J192" s="776"/>
      <c r="K192" s="777" t="s">
        <v>185</v>
      </c>
      <c r="L192" s="776" t="s">
        <v>186</v>
      </c>
      <c r="M192" s="776" t="s">
        <v>187</v>
      </c>
      <c r="N192" s="776">
        <f>ROUND(((D191*E191*2/3600)*(M192/100)),5)</f>
        <v>2.0000000000000002E-5</v>
      </c>
      <c r="O192" s="776">
        <f>ROUND(((((H191*F191+I191*G191)/1000000)+(0.5*J191*(F191+G191)/1000000))*(M192/100)),6)</f>
        <v>9.9999999999999995E-7</v>
      </c>
      <c r="P192" s="812"/>
      <c r="Q192" s="812"/>
      <c r="R192" s="835"/>
      <c r="S192" s="821"/>
      <c r="T192" s="821"/>
    </row>
    <row r="193" spans="1:20" s="811" customFormat="1" ht="15" customHeight="1" x14ac:dyDescent="0.25">
      <c r="A193" s="1514" t="s">
        <v>291</v>
      </c>
      <c r="B193" s="1515"/>
      <c r="C193" s="1515"/>
      <c r="D193" s="1515"/>
      <c r="E193" s="1515"/>
      <c r="F193" s="1515"/>
      <c r="G193" s="1515"/>
      <c r="H193" s="1515"/>
      <c r="I193" s="1515"/>
      <c r="J193" s="1515"/>
      <c r="K193" s="1515"/>
      <c r="L193" s="1515"/>
      <c r="M193" s="1515"/>
      <c r="N193" s="1515"/>
      <c r="O193" s="1516"/>
      <c r="P193" s="813"/>
      <c r="Q193" s="813"/>
      <c r="R193" s="825"/>
      <c r="S193" s="822"/>
      <c r="T193" s="822"/>
    </row>
    <row r="194" spans="1:20" s="811" customFormat="1" ht="15" customHeight="1" x14ac:dyDescent="0.25">
      <c r="A194" s="1202">
        <v>7114</v>
      </c>
      <c r="B194" s="1202" t="s">
        <v>181</v>
      </c>
      <c r="C194" s="816" t="s">
        <v>182</v>
      </c>
      <c r="D194" s="757">
        <v>3.6</v>
      </c>
      <c r="E194" s="757">
        <v>3.14</v>
      </c>
      <c r="F194" s="757">
        <v>2.5110000000000001</v>
      </c>
      <c r="G194" s="757">
        <v>0</v>
      </c>
      <c r="H194" s="757">
        <v>1.6</v>
      </c>
      <c r="I194" s="757">
        <v>2.2000000000000002</v>
      </c>
      <c r="J194" s="757">
        <v>50</v>
      </c>
      <c r="K194" s="817" t="s">
        <v>205</v>
      </c>
      <c r="L194" s="757">
        <v>2754</v>
      </c>
      <c r="M194" s="757">
        <v>99.72</v>
      </c>
      <c r="N194" s="757">
        <f>ROUND(((D194*E194*2/3600)*(M194/100)),4)</f>
        <v>6.3E-3</v>
      </c>
      <c r="O194" s="757">
        <f>ROUND(((((H194*F194+I194*G194)/1000000)+(0.5*J194*(F194+G194)/1000000))*(M194/100)),5)</f>
        <v>6.9999999999999994E-5</v>
      </c>
      <c r="P194" s="812"/>
      <c r="Q194" s="812"/>
      <c r="R194" s="813">
        <v>2.5110000000000001</v>
      </c>
      <c r="S194" s="813" t="s">
        <v>184</v>
      </c>
      <c r="T194" s="821"/>
    </row>
    <row r="195" spans="1:20" s="811" customFormat="1" ht="15" customHeight="1" x14ac:dyDescent="0.25">
      <c r="A195" s="1598"/>
      <c r="B195" s="1598"/>
      <c r="C195" s="820"/>
      <c r="D195" s="776"/>
      <c r="E195" s="776"/>
      <c r="F195" s="776"/>
      <c r="G195" s="776"/>
      <c r="H195" s="776"/>
      <c r="I195" s="776"/>
      <c r="J195" s="776"/>
      <c r="K195" s="777" t="s">
        <v>185</v>
      </c>
      <c r="L195" s="776" t="s">
        <v>186</v>
      </c>
      <c r="M195" s="776" t="s">
        <v>187</v>
      </c>
      <c r="N195" s="776">
        <f>ROUND(((D194*E194*2/3600)*(M195/100)),5)</f>
        <v>2.0000000000000002E-5</v>
      </c>
      <c r="O195" s="776">
        <f>ROUND(((((H194*F194+I194*G194)/1000000)+(0.5*J194*(F194+G194)/1000000))*(M195/100)),7)</f>
        <v>1.9999999999999999E-7</v>
      </c>
      <c r="P195" s="812"/>
      <c r="Q195" s="812"/>
      <c r="R195" s="835"/>
      <c r="S195" s="821"/>
      <c r="T195" s="821"/>
    </row>
    <row r="196" spans="1:20" s="811" customFormat="1" ht="15" customHeight="1" x14ac:dyDescent="0.25">
      <c r="A196" s="1514" t="s">
        <v>302</v>
      </c>
      <c r="B196" s="1515"/>
      <c r="C196" s="1515"/>
      <c r="D196" s="1515"/>
      <c r="E196" s="1515"/>
      <c r="F196" s="1515"/>
      <c r="G196" s="1515"/>
      <c r="H196" s="1515"/>
      <c r="I196" s="1515"/>
      <c r="J196" s="1515"/>
      <c r="K196" s="1515"/>
      <c r="L196" s="1515"/>
      <c r="M196" s="1515"/>
      <c r="N196" s="1515"/>
      <c r="O196" s="1516"/>
      <c r="P196" s="813"/>
      <c r="Q196" s="813"/>
      <c r="R196" s="825"/>
      <c r="S196" s="822"/>
      <c r="T196" s="822"/>
    </row>
    <row r="197" spans="1:20" s="811" customFormat="1" ht="15" customHeight="1" x14ac:dyDescent="0.25">
      <c r="A197" s="1202">
        <v>7120</v>
      </c>
      <c r="B197" s="1202" t="s">
        <v>181</v>
      </c>
      <c r="C197" s="816" t="s">
        <v>182</v>
      </c>
      <c r="D197" s="757">
        <v>3.6</v>
      </c>
      <c r="E197" s="757">
        <v>3.14</v>
      </c>
      <c r="F197" s="757">
        <v>31.77</v>
      </c>
      <c r="G197" s="757">
        <v>15.879</v>
      </c>
      <c r="H197" s="757">
        <v>1.6</v>
      </c>
      <c r="I197" s="757">
        <v>2.2000000000000002</v>
      </c>
      <c r="J197" s="757">
        <v>50</v>
      </c>
      <c r="K197" s="817" t="s">
        <v>205</v>
      </c>
      <c r="L197" s="757">
        <v>2754</v>
      </c>
      <c r="M197" s="757">
        <v>99.72</v>
      </c>
      <c r="N197" s="757">
        <f>ROUND(((D197*E197*2/3600)*(M197/100)),4)</f>
        <v>6.3E-3</v>
      </c>
      <c r="O197" s="757">
        <f>ROUND(((((H197*F197+I197*G197)/1000000)+(0.5*J197*(F197+G197)/1000000))*(M197/100)),5)</f>
        <v>1.2700000000000001E-3</v>
      </c>
      <c r="P197" s="836"/>
      <c r="Q197" s="836"/>
      <c r="R197" s="837">
        <v>47.649000000000001</v>
      </c>
      <c r="S197" s="813" t="s">
        <v>184</v>
      </c>
      <c r="T197" s="821"/>
    </row>
    <row r="198" spans="1:20" s="811" customFormat="1" ht="15" customHeight="1" x14ac:dyDescent="0.2">
      <c r="A198" s="1598"/>
      <c r="B198" s="1598"/>
      <c r="C198" s="820"/>
      <c r="D198" s="776"/>
      <c r="E198" s="776"/>
      <c r="F198" s="776"/>
      <c r="G198" s="776"/>
      <c r="H198" s="776"/>
      <c r="I198" s="776"/>
      <c r="J198" s="776"/>
      <c r="K198" s="777" t="s">
        <v>185</v>
      </c>
      <c r="L198" s="776" t="s">
        <v>186</v>
      </c>
      <c r="M198" s="776" t="s">
        <v>187</v>
      </c>
      <c r="N198" s="776">
        <f>ROUND(((D197*E197*2/3600)*(M198/100)),5)</f>
        <v>2.0000000000000002E-5</v>
      </c>
      <c r="O198" s="776">
        <f>ROUND(((((H197*F197+I197*G197)/1000000)+(0.5*J197*(F197+G197)/1000000))*(M198/100)),6)</f>
        <v>3.9999999999999998E-6</v>
      </c>
      <c r="P198" s="832">
        <f>SUM(N179:N198)</f>
        <v>4.4239999999999995E-2</v>
      </c>
      <c r="Q198" s="832">
        <f>SUM(O179:O198)</f>
        <v>3.350000000000001E-3</v>
      </c>
      <c r="R198" s="834">
        <v>2029</v>
      </c>
      <c r="S198" s="821"/>
      <c r="T198" s="821"/>
    </row>
    <row r="199" spans="1:20" ht="15" customHeight="1" x14ac:dyDescent="0.25"/>
  </sheetData>
  <mergeCells count="197">
    <mergeCell ref="A21:O21"/>
    <mergeCell ref="A22:O22"/>
    <mergeCell ref="A23:O23"/>
    <mergeCell ref="A25:O25"/>
    <mergeCell ref="A26:O26"/>
    <mergeCell ref="E38:E39"/>
    <mergeCell ref="D38:D39"/>
    <mergeCell ref="C38:C39"/>
    <mergeCell ref="B38:B39"/>
    <mergeCell ref="A38:A39"/>
    <mergeCell ref="N38:O38"/>
    <mergeCell ref="M38:M39"/>
    <mergeCell ref="L38:L39"/>
    <mergeCell ref="K38:K39"/>
    <mergeCell ref="J38:J39"/>
    <mergeCell ref="I38:I39"/>
    <mergeCell ref="H38:H39"/>
    <mergeCell ref="G38:G39"/>
    <mergeCell ref="F38:F39"/>
    <mergeCell ref="A129:O129"/>
    <mergeCell ref="A130:A131"/>
    <mergeCell ref="A128:O128"/>
    <mergeCell ref="A111:A112"/>
    <mergeCell ref="A1:O1"/>
    <mergeCell ref="A3:N3"/>
    <mergeCell ref="A4:O4"/>
    <mergeCell ref="A6:O6"/>
    <mergeCell ref="A8:O8"/>
    <mergeCell ref="A9:O9"/>
    <mergeCell ref="A11:O11"/>
    <mergeCell ref="A12:O12"/>
    <mergeCell ref="A14:O14"/>
    <mergeCell ref="A28:O28"/>
    <mergeCell ref="A30:O30"/>
    <mergeCell ref="A31:O31"/>
    <mergeCell ref="A32:O32"/>
    <mergeCell ref="A34:O34"/>
    <mergeCell ref="A35:O35"/>
    <mergeCell ref="A37:O37"/>
    <mergeCell ref="A15:O15"/>
    <mergeCell ref="A16:O16"/>
    <mergeCell ref="A18:O18"/>
    <mergeCell ref="A19:O19"/>
    <mergeCell ref="A41:O41"/>
    <mergeCell ref="B44:B45"/>
    <mergeCell ref="B47:B48"/>
    <mergeCell ref="A171:O171"/>
    <mergeCell ref="A172:A173"/>
    <mergeCell ref="B77:B78"/>
    <mergeCell ref="B84:B85"/>
    <mergeCell ref="B87:B88"/>
    <mergeCell ref="B90:B91"/>
    <mergeCell ref="B93:B94"/>
    <mergeCell ref="B96:B97"/>
    <mergeCell ref="B99:B100"/>
    <mergeCell ref="B102:B103"/>
    <mergeCell ref="A120:A121"/>
    <mergeCell ref="A168:O168"/>
    <mergeCell ref="A169:A170"/>
    <mergeCell ref="A160:A161"/>
    <mergeCell ref="A156:O156"/>
    <mergeCell ref="B105:B106"/>
    <mergeCell ref="B108:B109"/>
    <mergeCell ref="B111:B112"/>
    <mergeCell ref="B114:B115"/>
    <mergeCell ref="B117:B118"/>
    <mergeCell ref="B120:B121"/>
    <mergeCell ref="A98:O98"/>
    <mergeCell ref="A99:A100"/>
    <mergeCell ref="A73:O73"/>
    <mergeCell ref="A74:A75"/>
    <mergeCell ref="A92:O92"/>
    <mergeCell ref="A193:O193"/>
    <mergeCell ref="A194:A195"/>
    <mergeCell ref="A187:O187"/>
    <mergeCell ref="A188:A189"/>
    <mergeCell ref="A122:O122"/>
    <mergeCell ref="A123:A124"/>
    <mergeCell ref="A191:A192"/>
    <mergeCell ref="B123:B124"/>
    <mergeCell ref="B126:B127"/>
    <mergeCell ref="B130:B131"/>
    <mergeCell ref="B133:B134"/>
    <mergeCell ref="B136:B137"/>
    <mergeCell ref="B139:B140"/>
    <mergeCell ref="B142:B143"/>
    <mergeCell ref="A144:O144"/>
    <mergeCell ref="A145:A146"/>
    <mergeCell ref="A125:O125"/>
    <mergeCell ref="A126:A127"/>
    <mergeCell ref="A157:A158"/>
    <mergeCell ref="A116:O116"/>
    <mergeCell ref="A117:A118"/>
    <mergeCell ref="A93:A94"/>
    <mergeCell ref="A101:O101"/>
    <mergeCell ref="A49:O49"/>
    <mergeCell ref="A50:A51"/>
    <mergeCell ref="A89:O89"/>
    <mergeCell ref="A90:A91"/>
    <mergeCell ref="A95:O95"/>
    <mergeCell ref="A52:O52"/>
    <mergeCell ref="A53:A54"/>
    <mergeCell ref="A96:A97"/>
    <mergeCell ref="A107:O107"/>
    <mergeCell ref="A62:A63"/>
    <mergeCell ref="A58:O58"/>
    <mergeCell ref="A59:A60"/>
    <mergeCell ref="A61:O61"/>
    <mergeCell ref="A70:O70"/>
    <mergeCell ref="A71:A72"/>
    <mergeCell ref="A110:O110"/>
    <mergeCell ref="A102:A103"/>
    <mergeCell ref="A108:A109"/>
    <mergeCell ref="A104:O104"/>
    <mergeCell ref="A105:A106"/>
    <mergeCell ref="A46:O46"/>
    <mergeCell ref="A47:A48"/>
    <mergeCell ref="A64:O64"/>
    <mergeCell ref="A65:A66"/>
    <mergeCell ref="A55:O55"/>
    <mergeCell ref="A56:A57"/>
    <mergeCell ref="A86:O86"/>
    <mergeCell ref="A87:A88"/>
    <mergeCell ref="A84:A85"/>
    <mergeCell ref="A82:O82"/>
    <mergeCell ref="A79:O79"/>
    <mergeCell ref="A80:A81"/>
    <mergeCell ref="B80:B81"/>
    <mergeCell ref="A42:O42"/>
    <mergeCell ref="A43:O43"/>
    <mergeCell ref="A44:A45"/>
    <mergeCell ref="B197:B198"/>
    <mergeCell ref="B145:B146"/>
    <mergeCell ref="B148:B149"/>
    <mergeCell ref="B151:B152"/>
    <mergeCell ref="B154:B155"/>
    <mergeCell ref="B157:B158"/>
    <mergeCell ref="B160:B161"/>
    <mergeCell ref="B163:B164"/>
    <mergeCell ref="B166:B167"/>
    <mergeCell ref="B169:B170"/>
    <mergeCell ref="A196:O196"/>
    <mergeCell ref="A197:A198"/>
    <mergeCell ref="A182:A183"/>
    <mergeCell ref="A178:O178"/>
    <mergeCell ref="A179:A180"/>
    <mergeCell ref="A153:O153"/>
    <mergeCell ref="A154:A155"/>
    <mergeCell ref="A150:O150"/>
    <mergeCell ref="A151:A152"/>
    <mergeCell ref="A163:A164"/>
    <mergeCell ref="A174:O174"/>
    <mergeCell ref="A190:O190"/>
    <mergeCell ref="A147:O147"/>
    <mergeCell ref="B172:B173"/>
    <mergeCell ref="B175:B176"/>
    <mergeCell ref="B179:B180"/>
    <mergeCell ref="B182:B183"/>
    <mergeCell ref="B185:B186"/>
    <mergeCell ref="B188:B189"/>
    <mergeCell ref="A165:O165"/>
    <mergeCell ref="A166:A167"/>
    <mergeCell ref="A159:O159"/>
    <mergeCell ref="A132:O132"/>
    <mergeCell ref="A133:A134"/>
    <mergeCell ref="A148:A149"/>
    <mergeCell ref="A139:A140"/>
    <mergeCell ref="A181:O181"/>
    <mergeCell ref="A177:O177"/>
    <mergeCell ref="A135:O135"/>
    <mergeCell ref="A136:A137"/>
    <mergeCell ref="A138:O138"/>
    <mergeCell ref="A175:A176"/>
    <mergeCell ref="B191:B192"/>
    <mergeCell ref="B194:B195"/>
    <mergeCell ref="B50:B51"/>
    <mergeCell ref="B53:B54"/>
    <mergeCell ref="B56:B57"/>
    <mergeCell ref="B59:B60"/>
    <mergeCell ref="B62:B63"/>
    <mergeCell ref="B65:B66"/>
    <mergeCell ref="B68:B69"/>
    <mergeCell ref="B71:B72"/>
    <mergeCell ref="B74:B75"/>
    <mergeCell ref="A76:O76"/>
    <mergeCell ref="A77:A78"/>
    <mergeCell ref="A141:O141"/>
    <mergeCell ref="A83:O83"/>
    <mergeCell ref="A142:A143"/>
    <mergeCell ref="A119:O119"/>
    <mergeCell ref="A184:O184"/>
    <mergeCell ref="A185:A186"/>
    <mergeCell ref="A113:O113"/>
    <mergeCell ref="A114:A115"/>
    <mergeCell ref="A162:O162"/>
    <mergeCell ref="A67:O67"/>
    <mergeCell ref="A68:A69"/>
  </mergeCells>
  <pageMargins left="0.31496062992125984" right="0.31496062992125984" top="0.78740157480314965" bottom="0.39370078740157483" header="0.31496062992125984" footer="0.19685039370078741"/>
  <pageSetup paperSize="9" firstPageNumber="114" orientation="landscape" useFirstPageNumber="1" r:id="rId1"/>
  <headerFooter>
    <oddFooter>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D1A76-0F73-4CE2-90FE-1C2DE18B2FB5}">
  <sheetPr>
    <tabColor theme="0"/>
  </sheetPr>
  <dimension ref="A1:Q34"/>
  <sheetViews>
    <sheetView view="pageBreakPreview" topLeftCell="A25" zoomScaleNormal="100" zoomScaleSheetLayoutView="100" workbookViewId="0">
      <selection activeCell="N35" sqref="N35"/>
    </sheetView>
  </sheetViews>
  <sheetFormatPr defaultRowHeight="15" x14ac:dyDescent="0.25"/>
  <cols>
    <col min="1" max="1" width="14.5703125" customWidth="1"/>
    <col min="2" max="2" width="5.7109375" customWidth="1"/>
    <col min="3" max="3" width="13.140625" customWidth="1"/>
    <col min="5" max="5" width="7.5703125" customWidth="1"/>
    <col min="6" max="6" width="16.7109375" customWidth="1"/>
    <col min="7" max="7" width="5.28515625" customWidth="1"/>
    <col min="8" max="8" width="8.140625" customWidth="1"/>
    <col min="10" max="10" width="12" customWidth="1"/>
    <col min="11" max="11" width="11" customWidth="1"/>
  </cols>
  <sheetData>
    <row r="1" spans="1:17" ht="15.75" x14ac:dyDescent="0.25">
      <c r="A1" s="1104" t="s">
        <v>1167</v>
      </c>
      <c r="B1" s="1104"/>
      <c r="C1" s="1104"/>
      <c r="D1" s="1104"/>
      <c r="E1" s="1104"/>
      <c r="F1" s="1104"/>
      <c r="G1" s="1104"/>
      <c r="H1" s="1104"/>
      <c r="I1" s="1104"/>
    </row>
    <row r="3" spans="1:17" s="73" customFormat="1" ht="14.25" customHeight="1" x14ac:dyDescent="0.25">
      <c r="A3" s="1439" t="s">
        <v>611</v>
      </c>
      <c r="B3" s="1439"/>
      <c r="C3" s="1439"/>
      <c r="D3" s="1439"/>
      <c r="E3" s="1439"/>
      <c r="F3" s="1439"/>
      <c r="G3" s="1439"/>
      <c r="H3" s="1439"/>
      <c r="I3" s="1439"/>
      <c r="J3" s="1439"/>
      <c r="K3" s="1439"/>
      <c r="L3" s="1439"/>
      <c r="M3" s="1439"/>
      <c r="N3" s="1439"/>
    </row>
    <row r="4" spans="1:17" s="73" customFormat="1" ht="30" customHeight="1" x14ac:dyDescent="0.25">
      <c r="A4" s="1507" t="s">
        <v>987</v>
      </c>
      <c r="B4" s="1507"/>
      <c r="C4" s="1507"/>
      <c r="D4" s="1507"/>
      <c r="E4" s="1507"/>
      <c r="F4" s="1507"/>
      <c r="G4" s="1507"/>
      <c r="H4" s="1507"/>
      <c r="I4" s="1507"/>
      <c r="P4" s="72"/>
      <c r="Q4" s="72"/>
    </row>
    <row r="5" spans="1:17" s="73" customFormat="1" ht="15.75" customHeight="1" x14ac:dyDescent="0.25">
      <c r="A5" s="72"/>
      <c r="B5" s="72"/>
      <c r="C5" s="72"/>
      <c r="D5" s="72"/>
      <c r="E5" s="72"/>
      <c r="F5" s="72"/>
      <c r="G5" s="72"/>
      <c r="H5" s="72"/>
      <c r="I5" s="72"/>
      <c r="P5" s="72"/>
      <c r="Q5" s="72"/>
    </row>
    <row r="6" spans="1:17" s="73" customFormat="1" ht="15.75" customHeight="1" x14ac:dyDescent="0.25">
      <c r="A6" s="1507" t="s">
        <v>988</v>
      </c>
      <c r="B6" s="1507"/>
      <c r="C6" s="1507"/>
      <c r="D6" s="1507"/>
      <c r="E6" s="1507"/>
      <c r="F6" s="1507"/>
      <c r="G6" s="1507"/>
      <c r="H6" s="1507"/>
      <c r="I6" s="1507"/>
      <c r="P6" s="72"/>
      <c r="Q6" s="72"/>
    </row>
    <row r="7" spans="1:17" s="73" customFormat="1" ht="15.75" customHeight="1" x14ac:dyDescent="0.25">
      <c r="A7" s="72"/>
      <c r="B7" s="72"/>
      <c r="C7" s="72"/>
      <c r="D7" s="72"/>
      <c r="E7" s="72"/>
      <c r="F7" s="72"/>
      <c r="G7" s="72"/>
      <c r="H7" s="72"/>
      <c r="I7" s="72"/>
      <c r="P7" s="72"/>
      <c r="Q7" s="72"/>
    </row>
    <row r="8" spans="1:17" s="73" customFormat="1" ht="37.5" customHeight="1" x14ac:dyDescent="0.3">
      <c r="A8" s="1626" t="s">
        <v>989</v>
      </c>
      <c r="B8" s="1626"/>
      <c r="C8" s="1626"/>
      <c r="D8" s="1626"/>
      <c r="E8" s="1626"/>
      <c r="F8" s="1626"/>
      <c r="G8" s="1626"/>
      <c r="H8" s="1626"/>
      <c r="I8" s="1626"/>
      <c r="P8" s="72"/>
      <c r="Q8" s="72"/>
    </row>
    <row r="9" spans="1:17" s="73" customFormat="1" ht="9" customHeight="1" x14ac:dyDescent="0.25">
      <c r="A9" s="72"/>
      <c r="B9" s="72"/>
      <c r="C9" s="72"/>
      <c r="D9" s="72"/>
      <c r="E9" s="72"/>
      <c r="F9" s="72"/>
      <c r="G9" s="72"/>
      <c r="H9" s="72"/>
      <c r="I9" s="72"/>
      <c r="P9" s="72"/>
      <c r="Q9" s="72"/>
    </row>
    <row r="10" spans="1:17" ht="18.75" x14ac:dyDescent="0.3">
      <c r="A10" s="1103" t="s">
        <v>992</v>
      </c>
      <c r="B10" s="1103"/>
      <c r="C10" s="1103"/>
      <c r="D10" s="1103"/>
      <c r="E10" s="1103"/>
      <c r="F10" s="1103"/>
      <c r="G10" s="1103"/>
      <c r="H10" s="1103"/>
      <c r="I10" s="1103"/>
    </row>
    <row r="11" spans="1:17" ht="11.25" customHeight="1" x14ac:dyDescent="0.3">
      <c r="A11" s="81"/>
      <c r="B11" s="81"/>
      <c r="C11" s="81"/>
      <c r="D11" s="81"/>
      <c r="E11" s="81"/>
      <c r="F11" s="81"/>
      <c r="G11" s="81"/>
      <c r="H11" s="81"/>
      <c r="I11" s="81"/>
    </row>
    <row r="12" spans="1:17" ht="39.75" customHeight="1" x14ac:dyDescent="0.25">
      <c r="A12" s="1117" t="s">
        <v>993</v>
      </c>
      <c r="B12" s="1117"/>
      <c r="C12" s="1117"/>
      <c r="D12" s="1117"/>
      <c r="E12" s="1117"/>
      <c r="F12" s="1117"/>
      <c r="G12" s="1117"/>
      <c r="H12" s="1117"/>
      <c r="I12" s="1117"/>
    </row>
    <row r="13" spans="1:17" ht="17.25" customHeight="1" x14ac:dyDescent="0.25">
      <c r="A13" s="58"/>
      <c r="B13" s="58"/>
      <c r="C13" s="58"/>
      <c r="D13" s="58"/>
      <c r="E13" s="58"/>
      <c r="F13" s="58"/>
      <c r="G13" s="58"/>
      <c r="H13" s="58"/>
      <c r="I13" s="58"/>
    </row>
    <row r="14" spans="1:17" ht="18.75" x14ac:dyDescent="0.3">
      <c r="A14" s="1103" t="s">
        <v>994</v>
      </c>
      <c r="B14" s="1103"/>
      <c r="C14" s="1103"/>
      <c r="D14" s="1103"/>
      <c r="E14" s="1103"/>
      <c r="F14" s="1103"/>
      <c r="G14" s="1103"/>
      <c r="H14" s="1103"/>
      <c r="I14" s="1103"/>
    </row>
    <row r="15" spans="1:17" s="86" customFormat="1" ht="15.75" customHeight="1" x14ac:dyDescent="0.25">
      <c r="A15" s="85" t="s">
        <v>836</v>
      </c>
      <c r="K15" s="85"/>
    </row>
    <row r="16" spans="1:17" s="86" customFormat="1" ht="15.75" customHeight="1" x14ac:dyDescent="0.25">
      <c r="A16" s="1101" t="s">
        <v>990</v>
      </c>
      <c r="B16" s="1101"/>
      <c r="C16" s="1101"/>
      <c r="D16" s="1101"/>
      <c r="E16" s="1101"/>
      <c r="F16" s="1101"/>
      <c r="G16" s="1101"/>
      <c r="H16" s="1101"/>
      <c r="I16" s="1101"/>
      <c r="J16" s="211"/>
      <c r="K16" s="211"/>
      <c r="L16" s="211"/>
      <c r="M16" s="211"/>
      <c r="N16" s="211"/>
      <c r="O16" s="211"/>
      <c r="P16" s="85"/>
      <c r="Q16" s="85"/>
    </row>
    <row r="17" spans="1:17" s="86" customFormat="1" ht="15.75" customHeight="1" x14ac:dyDescent="0.25">
      <c r="A17" s="1101" t="s">
        <v>991</v>
      </c>
      <c r="B17" s="1101"/>
      <c r="C17" s="1101"/>
      <c r="D17" s="1101"/>
      <c r="E17" s="1101"/>
      <c r="F17" s="1101"/>
      <c r="G17" s="1101"/>
      <c r="H17" s="1101"/>
      <c r="I17" s="1101"/>
      <c r="J17" s="211"/>
      <c r="K17" s="211"/>
      <c r="L17" s="211"/>
      <c r="M17" s="211"/>
      <c r="N17" s="211"/>
      <c r="O17" s="211"/>
      <c r="P17" s="85"/>
      <c r="Q17" s="85"/>
    </row>
    <row r="18" spans="1:17" s="86" customFormat="1" ht="15.75" customHeight="1" x14ac:dyDescent="0.25">
      <c r="A18" s="1101" t="s">
        <v>995</v>
      </c>
      <c r="B18" s="1101"/>
      <c r="C18" s="1101"/>
      <c r="D18" s="1101"/>
      <c r="E18" s="1101"/>
      <c r="F18" s="1101"/>
      <c r="G18" s="1101"/>
      <c r="H18" s="1101"/>
      <c r="I18" s="1101"/>
      <c r="J18" s="211"/>
      <c r="K18" s="211"/>
      <c r="L18" s="211"/>
      <c r="M18" s="211"/>
      <c r="N18" s="211"/>
      <c r="O18" s="211"/>
      <c r="P18" s="85"/>
      <c r="Q18" s="85"/>
    </row>
    <row r="20" spans="1:17" ht="18.75" x14ac:dyDescent="0.25">
      <c r="A20" s="1539" t="s">
        <v>1168</v>
      </c>
      <c r="B20" s="1539"/>
      <c r="C20" s="1539"/>
      <c r="D20" s="1539"/>
      <c r="E20" s="1539"/>
      <c r="F20" s="1539"/>
      <c r="G20" s="1539"/>
      <c r="H20" s="1539"/>
      <c r="I20" s="1539"/>
    </row>
    <row r="21" spans="1:17" ht="11.25" customHeight="1" x14ac:dyDescent="0.25">
      <c r="A21" s="117"/>
      <c r="B21" s="117"/>
      <c r="C21" s="117"/>
      <c r="D21" s="117"/>
      <c r="E21" s="117"/>
      <c r="F21" s="117"/>
      <c r="G21" s="117"/>
      <c r="H21" s="117"/>
      <c r="I21" s="117"/>
    </row>
    <row r="22" spans="1:17" s="14" customFormat="1" ht="18.75" x14ac:dyDescent="0.3">
      <c r="A22" s="14" t="s">
        <v>1169</v>
      </c>
    </row>
    <row r="23" spans="1:17" ht="23.25" customHeight="1" x14ac:dyDescent="0.25">
      <c r="A23" s="1625" t="s">
        <v>19</v>
      </c>
      <c r="B23" s="1625" t="s">
        <v>901</v>
      </c>
      <c r="C23" s="1625" t="s">
        <v>347</v>
      </c>
      <c r="D23" s="1625" t="s">
        <v>348</v>
      </c>
      <c r="E23" s="1625" t="s">
        <v>349</v>
      </c>
      <c r="F23" s="1625" t="s">
        <v>346</v>
      </c>
      <c r="G23" s="1632" t="s">
        <v>42</v>
      </c>
      <c r="H23" s="1625" t="s">
        <v>350</v>
      </c>
      <c r="I23" s="1625"/>
    </row>
    <row r="24" spans="1:17" ht="28.5" customHeight="1" x14ac:dyDescent="0.25">
      <c r="A24" s="1625"/>
      <c r="B24" s="1625"/>
      <c r="C24" s="1625"/>
      <c r="D24" s="1625"/>
      <c r="E24" s="1625"/>
      <c r="F24" s="1625"/>
      <c r="G24" s="1633"/>
      <c r="H24" s="28" t="s">
        <v>46</v>
      </c>
      <c r="I24" s="28" t="s">
        <v>45</v>
      </c>
    </row>
    <row r="25" spans="1:17" x14ac:dyDescent="0.25">
      <c r="A25" s="28">
        <v>1</v>
      </c>
      <c r="B25" s="28">
        <v>2</v>
      </c>
      <c r="C25" s="28">
        <v>4</v>
      </c>
      <c r="D25" s="28">
        <v>5</v>
      </c>
      <c r="E25" s="28"/>
      <c r="F25" s="28">
        <v>3</v>
      </c>
      <c r="G25" s="28"/>
      <c r="H25" s="28">
        <v>6</v>
      </c>
      <c r="I25" s="28">
        <v>7</v>
      </c>
    </row>
    <row r="26" spans="1:17" x14ac:dyDescent="0.25">
      <c r="A26" s="1629" t="s">
        <v>352</v>
      </c>
      <c r="B26" s="1630"/>
      <c r="C26" s="1630"/>
      <c r="D26" s="1630"/>
      <c r="E26" s="1630"/>
      <c r="F26" s="1630"/>
      <c r="G26" s="1630"/>
      <c r="H26" s="1630"/>
      <c r="I26" s="1631"/>
    </row>
    <row r="27" spans="1:17" x14ac:dyDescent="0.25">
      <c r="A27" s="1599" t="s">
        <v>11</v>
      </c>
      <c r="B27" s="1627"/>
      <c r="C27" s="1627"/>
      <c r="D27" s="1627"/>
      <c r="E27" s="1627"/>
      <c r="F27" s="1627"/>
      <c r="G27" s="1627"/>
      <c r="H27" s="1627"/>
      <c r="I27" s="1628"/>
    </row>
    <row r="28" spans="1:17" x14ac:dyDescent="0.25">
      <c r="A28" s="1599" t="s">
        <v>291</v>
      </c>
      <c r="B28" s="1627"/>
      <c r="C28" s="1627"/>
      <c r="D28" s="1627"/>
      <c r="E28" s="1627"/>
      <c r="F28" s="1627"/>
      <c r="G28" s="1627"/>
      <c r="H28" s="1627"/>
      <c r="I28" s="1628"/>
    </row>
    <row r="29" spans="1:17" ht="51" x14ac:dyDescent="0.25">
      <c r="A29" s="8" t="s">
        <v>351</v>
      </c>
      <c r="B29" s="8">
        <v>7113</v>
      </c>
      <c r="C29" s="8">
        <v>1</v>
      </c>
      <c r="D29" s="8">
        <v>20.6191</v>
      </c>
      <c r="E29" s="8">
        <v>360</v>
      </c>
      <c r="F29" s="8" t="s">
        <v>1059</v>
      </c>
      <c r="G29" s="8">
        <v>2754</v>
      </c>
      <c r="H29" s="8">
        <f>ROUND((I29*1000000/(E29*3600)),4)</f>
        <v>1.5900000000000001E-2</v>
      </c>
      <c r="I29" s="8">
        <f>ROUND(((D29*C29)/1000),4)</f>
        <v>2.06E-2</v>
      </c>
      <c r="J29" s="941">
        <f>H29</f>
        <v>1.5900000000000001E-2</v>
      </c>
      <c r="K29" s="941">
        <f>I29</f>
        <v>2.06E-2</v>
      </c>
    </row>
    <row r="30" spans="1:17" ht="13.5" customHeight="1" x14ac:dyDescent="0.25"/>
    <row r="31" spans="1:17" ht="18.75" x14ac:dyDescent="0.25">
      <c r="A31" s="112"/>
    </row>
    <row r="32" spans="1:17" ht="18.75" x14ac:dyDescent="0.25">
      <c r="A32" s="112"/>
    </row>
    <row r="33" spans="1:1" ht="18.75" x14ac:dyDescent="0.25">
      <c r="A33" s="114"/>
    </row>
    <row r="34" spans="1:1" ht="18.75" x14ac:dyDescent="0.25">
      <c r="A34" s="114"/>
    </row>
  </sheetData>
  <mergeCells count="23">
    <mergeCell ref="A28:I28"/>
    <mergeCell ref="A27:I27"/>
    <mergeCell ref="A23:A24"/>
    <mergeCell ref="B23:B24"/>
    <mergeCell ref="C23:C24"/>
    <mergeCell ref="D23:D24"/>
    <mergeCell ref="E23:E24"/>
    <mergeCell ref="A26:I26"/>
    <mergeCell ref="F23:F24"/>
    <mergeCell ref="G23:G24"/>
    <mergeCell ref="A1:I1"/>
    <mergeCell ref="A3:N3"/>
    <mergeCell ref="A4:I4"/>
    <mergeCell ref="A6:I6"/>
    <mergeCell ref="H23:I23"/>
    <mergeCell ref="A20:I20"/>
    <mergeCell ref="A17:I17"/>
    <mergeCell ref="A12:I12"/>
    <mergeCell ref="A14:I14"/>
    <mergeCell ref="A8:I8"/>
    <mergeCell ref="A10:I10"/>
    <mergeCell ref="A18:I18"/>
    <mergeCell ref="A16:I16"/>
  </mergeCells>
  <pageMargins left="0.70866141732283472" right="0.51181102362204722" top="0.74803149606299213" bottom="0.55118110236220474" header="0.31496062992125984" footer="0.31496062992125984"/>
  <pageSetup paperSize="9" firstPageNumber="121" orientation="portrait" useFirstPageNumber="1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A8C4F-3B54-4763-95A1-F26CAD2725F0}">
  <dimension ref="A1:I149"/>
  <sheetViews>
    <sheetView view="pageBreakPreview" topLeftCell="A134" zoomScaleNormal="100" zoomScaleSheetLayoutView="100" workbookViewId="0">
      <selection activeCell="A147" sqref="A147:I147"/>
    </sheetView>
  </sheetViews>
  <sheetFormatPr defaultRowHeight="15" x14ac:dyDescent="0.25"/>
  <cols>
    <col min="1" max="8" width="9.140625" style="52"/>
    <col min="9" max="9" width="16.42578125" style="52" customWidth="1"/>
    <col min="10" max="16384" width="9.140625" style="52"/>
  </cols>
  <sheetData>
    <row r="1" spans="1:9" ht="39" customHeight="1" x14ac:dyDescent="0.25">
      <c r="A1" s="1116" t="s">
        <v>619</v>
      </c>
      <c r="B1" s="1116"/>
      <c r="C1" s="1116"/>
      <c r="D1" s="1116"/>
      <c r="E1" s="1116"/>
      <c r="F1" s="1116"/>
      <c r="G1" s="1116"/>
      <c r="H1" s="1116"/>
      <c r="I1" s="1116"/>
    </row>
    <row r="2" spans="1:9" ht="9" customHeight="1" x14ac:dyDescent="0.25">
      <c r="A2" s="1116"/>
      <c r="B2" s="1116"/>
      <c r="C2" s="1116"/>
      <c r="D2" s="1116"/>
      <c r="E2" s="1116"/>
      <c r="F2" s="1116"/>
      <c r="G2" s="1116"/>
      <c r="H2" s="1116"/>
    </row>
    <row r="3" spans="1:9" ht="54.75" customHeight="1" x14ac:dyDescent="0.25">
      <c r="A3" s="1117" t="s">
        <v>618</v>
      </c>
      <c r="B3" s="1117"/>
      <c r="C3" s="1117"/>
      <c r="D3" s="1117"/>
      <c r="E3" s="1117"/>
      <c r="F3" s="1117"/>
      <c r="G3" s="1117"/>
      <c r="H3" s="1117"/>
      <c r="I3" s="1117"/>
    </row>
    <row r="4" spans="1:9" ht="18" x14ac:dyDescent="0.25">
      <c r="A4" s="1120" t="s">
        <v>1202</v>
      </c>
      <c r="B4" s="1120"/>
      <c r="C4" s="1120"/>
      <c r="D4" s="1120"/>
      <c r="E4" s="1120"/>
      <c r="F4" s="1120"/>
      <c r="G4" s="1120"/>
      <c r="H4" s="1120"/>
      <c r="I4" s="1120"/>
    </row>
    <row r="5" spans="1:9" ht="18" x14ac:dyDescent="0.25">
      <c r="A5" s="1118" t="s">
        <v>620</v>
      </c>
      <c r="B5" s="1118"/>
      <c r="C5" s="1118"/>
      <c r="D5" s="1118"/>
      <c r="E5" s="1118"/>
      <c r="F5" s="1118"/>
      <c r="G5" s="1118"/>
      <c r="H5" s="1118"/>
      <c r="I5" s="1118"/>
    </row>
    <row r="6" spans="1:9" ht="18" x14ac:dyDescent="0.25">
      <c r="A6" s="1118" t="s">
        <v>621</v>
      </c>
      <c r="B6" s="1118"/>
      <c r="C6" s="1118"/>
      <c r="D6" s="1118"/>
      <c r="E6" s="1118"/>
      <c r="F6" s="1118"/>
      <c r="G6" s="1118"/>
      <c r="H6" s="1118"/>
      <c r="I6" s="1118"/>
    </row>
    <row r="7" spans="1:9" ht="18" x14ac:dyDescent="0.25">
      <c r="A7" s="1118" t="s">
        <v>622</v>
      </c>
      <c r="B7" s="1118"/>
      <c r="C7" s="1118"/>
      <c r="D7" s="1118"/>
      <c r="E7" s="1118"/>
      <c r="F7" s="1118"/>
      <c r="G7" s="1118"/>
      <c r="H7" s="1118"/>
      <c r="I7" s="1118"/>
    </row>
    <row r="8" spans="1:9" ht="18" x14ac:dyDescent="0.25">
      <c r="A8" s="1118" t="s">
        <v>623</v>
      </c>
      <c r="B8" s="1118"/>
      <c r="C8" s="1118"/>
      <c r="D8" s="1118"/>
      <c r="E8" s="1118"/>
      <c r="F8" s="1118"/>
      <c r="G8" s="1118"/>
      <c r="H8" s="1118"/>
      <c r="I8" s="1118"/>
    </row>
    <row r="9" spans="1:9" ht="18" x14ac:dyDescent="0.25">
      <c r="A9" s="1118" t="s">
        <v>624</v>
      </c>
      <c r="B9" s="1118"/>
      <c r="C9" s="1118"/>
      <c r="D9" s="1118"/>
      <c r="E9" s="1118"/>
      <c r="F9" s="1118"/>
      <c r="G9" s="1118"/>
      <c r="H9" s="1118"/>
      <c r="I9" s="1118"/>
    </row>
    <row r="10" spans="1:9" ht="18" x14ac:dyDescent="0.25">
      <c r="A10" s="1118" t="s">
        <v>625</v>
      </c>
      <c r="B10" s="1118"/>
      <c r="C10" s="1118"/>
      <c r="D10" s="1118"/>
      <c r="E10" s="1118"/>
      <c r="F10" s="1118"/>
      <c r="G10" s="1118"/>
      <c r="H10" s="1118"/>
      <c r="I10" s="1118"/>
    </row>
    <row r="11" spans="1:9" ht="18" x14ac:dyDescent="0.25">
      <c r="A11" s="1118" t="s">
        <v>626</v>
      </c>
      <c r="B11" s="1118"/>
      <c r="C11" s="1118"/>
      <c r="D11" s="1118"/>
      <c r="E11" s="1118"/>
      <c r="F11" s="1118"/>
      <c r="G11" s="1118"/>
      <c r="H11" s="1118"/>
      <c r="I11" s="1118"/>
    </row>
    <row r="12" spans="1:9" ht="18" x14ac:dyDescent="0.25">
      <c r="A12" s="1118" t="s">
        <v>627</v>
      </c>
      <c r="B12" s="1118"/>
      <c r="C12" s="1118"/>
      <c r="D12" s="1118"/>
      <c r="E12" s="1118"/>
      <c r="F12" s="1118"/>
      <c r="G12" s="1118"/>
      <c r="H12" s="1118"/>
      <c r="I12" s="1118"/>
    </row>
    <row r="13" spans="1:9" ht="18" x14ac:dyDescent="0.25">
      <c r="A13" s="1120" t="s">
        <v>628</v>
      </c>
      <c r="B13" s="1120"/>
      <c r="C13" s="1120"/>
      <c r="D13" s="1120"/>
      <c r="E13" s="1120"/>
      <c r="F13" s="1120"/>
      <c r="G13" s="1120"/>
      <c r="H13" s="1120"/>
      <c r="I13" s="1120"/>
    </row>
    <row r="14" spans="1:9" ht="18" x14ac:dyDescent="0.25">
      <c r="A14" s="1118" t="s">
        <v>629</v>
      </c>
      <c r="B14" s="1118"/>
      <c r="C14" s="1118"/>
      <c r="D14" s="1118"/>
      <c r="E14" s="1118"/>
      <c r="F14" s="1118"/>
      <c r="G14" s="1118"/>
      <c r="H14" s="1118"/>
      <c r="I14" s="1118"/>
    </row>
    <row r="15" spans="1:9" ht="18" x14ac:dyDescent="0.25">
      <c r="A15" s="1118" t="s">
        <v>630</v>
      </c>
      <c r="B15" s="1118"/>
      <c r="C15" s="1118"/>
      <c r="D15" s="1118"/>
      <c r="E15" s="1118"/>
      <c r="F15" s="1118"/>
      <c r="G15" s="1118"/>
      <c r="H15" s="1118"/>
      <c r="I15" s="1118"/>
    </row>
    <row r="16" spans="1:9" ht="18" x14ac:dyDescent="0.25">
      <c r="A16" s="1118" t="s">
        <v>631</v>
      </c>
      <c r="B16" s="1118"/>
      <c r="C16" s="1118"/>
      <c r="D16" s="1118"/>
      <c r="E16" s="1118"/>
      <c r="F16" s="1118"/>
      <c r="G16" s="1118"/>
      <c r="H16" s="1118"/>
      <c r="I16" s="1118"/>
    </row>
    <row r="17" spans="1:9" ht="18" x14ac:dyDescent="0.25">
      <c r="A17" s="1119" t="s">
        <v>632</v>
      </c>
      <c r="B17" s="1119"/>
      <c r="C17" s="1119"/>
      <c r="D17" s="1119"/>
      <c r="E17" s="1119"/>
      <c r="F17" s="1119"/>
      <c r="G17" s="1119"/>
      <c r="H17" s="1119"/>
      <c r="I17" s="1119"/>
    </row>
    <row r="18" spans="1:9" ht="18" x14ac:dyDescent="0.25">
      <c r="A18" s="1118" t="s">
        <v>633</v>
      </c>
      <c r="B18" s="1118"/>
      <c r="C18" s="1118"/>
      <c r="D18" s="1118"/>
      <c r="E18" s="1118"/>
      <c r="F18" s="1118"/>
      <c r="G18" s="1118"/>
      <c r="H18" s="1118"/>
      <c r="I18" s="1118"/>
    </row>
    <row r="19" spans="1:9" ht="18" x14ac:dyDescent="0.25">
      <c r="A19" s="1120" t="s">
        <v>628</v>
      </c>
      <c r="B19" s="1120"/>
      <c r="C19" s="1120"/>
      <c r="D19" s="1120"/>
      <c r="E19" s="1120"/>
      <c r="F19" s="1120"/>
      <c r="G19" s="1120"/>
      <c r="H19" s="1120"/>
      <c r="I19" s="1120"/>
    </row>
    <row r="20" spans="1:9" ht="18" x14ac:dyDescent="0.25">
      <c r="A20" s="1118" t="s">
        <v>634</v>
      </c>
      <c r="B20" s="1118"/>
      <c r="C20" s="1118"/>
      <c r="D20" s="1118"/>
      <c r="E20" s="1118"/>
      <c r="F20" s="1118"/>
      <c r="G20" s="1118"/>
      <c r="H20" s="1118"/>
      <c r="I20" s="1118"/>
    </row>
    <row r="21" spans="1:9" ht="18" x14ac:dyDescent="0.25">
      <c r="A21" s="1118" t="s">
        <v>635</v>
      </c>
      <c r="B21" s="1118"/>
      <c r="C21" s="1118"/>
      <c r="D21" s="1118"/>
      <c r="E21" s="1118"/>
      <c r="F21" s="1118"/>
      <c r="G21" s="1118"/>
      <c r="H21" s="1118"/>
      <c r="I21" s="1118"/>
    </row>
    <row r="22" spans="1:9" ht="18" x14ac:dyDescent="0.25">
      <c r="A22" s="1118" t="s">
        <v>636</v>
      </c>
      <c r="B22" s="1118"/>
      <c r="C22" s="1118"/>
      <c r="D22" s="1118"/>
      <c r="E22" s="1118"/>
      <c r="F22" s="1118"/>
      <c r="G22" s="1118"/>
      <c r="H22" s="1118"/>
      <c r="I22" s="1118"/>
    </row>
    <row r="23" spans="1:9" ht="18" x14ac:dyDescent="0.25">
      <c r="A23" s="1118" t="s">
        <v>637</v>
      </c>
      <c r="B23" s="1118"/>
      <c r="C23" s="1118"/>
      <c r="D23" s="1118"/>
      <c r="E23" s="1118"/>
      <c r="F23" s="1118"/>
      <c r="G23" s="1118"/>
      <c r="H23" s="1118"/>
      <c r="I23" s="1118"/>
    </row>
    <row r="24" spans="1:9" ht="18" x14ac:dyDescent="0.25">
      <c r="A24" s="1118" t="s">
        <v>638</v>
      </c>
      <c r="B24" s="1118"/>
      <c r="C24" s="1118"/>
      <c r="D24" s="1118"/>
      <c r="E24" s="1118"/>
      <c r="F24" s="1118"/>
      <c r="G24" s="1118"/>
      <c r="H24" s="1118"/>
      <c r="I24" s="1118"/>
    </row>
    <row r="25" spans="1:9" ht="18" x14ac:dyDescent="0.25">
      <c r="A25" s="1120" t="s">
        <v>639</v>
      </c>
      <c r="B25" s="1120"/>
      <c r="C25" s="1120"/>
      <c r="D25" s="1120"/>
      <c r="E25" s="1120"/>
      <c r="F25" s="1120"/>
      <c r="G25" s="1120"/>
      <c r="H25" s="1120"/>
      <c r="I25" s="1120"/>
    </row>
    <row r="26" spans="1:9" ht="18" x14ac:dyDescent="0.25">
      <c r="A26" s="1118" t="s">
        <v>640</v>
      </c>
      <c r="B26" s="1118"/>
      <c r="C26" s="1118"/>
      <c r="D26" s="1118"/>
      <c r="E26" s="1118"/>
      <c r="F26" s="1118"/>
      <c r="G26" s="1118"/>
      <c r="H26" s="1118"/>
      <c r="I26" s="1118"/>
    </row>
    <row r="27" spans="1:9" ht="18" x14ac:dyDescent="0.25">
      <c r="A27" s="1118" t="s">
        <v>641</v>
      </c>
      <c r="B27" s="1118"/>
      <c r="C27" s="1118"/>
      <c r="D27" s="1118"/>
      <c r="E27" s="1118"/>
      <c r="F27" s="1118"/>
      <c r="G27" s="1118"/>
      <c r="H27" s="1118"/>
      <c r="I27" s="1118"/>
    </row>
    <row r="28" spans="1:9" ht="18" x14ac:dyDescent="0.25">
      <c r="A28" s="1118" t="s">
        <v>642</v>
      </c>
      <c r="B28" s="1118"/>
      <c r="C28" s="1118"/>
      <c r="D28" s="1118"/>
      <c r="E28" s="1118"/>
      <c r="F28" s="1118"/>
      <c r="G28" s="1118"/>
      <c r="H28" s="1118"/>
      <c r="I28" s="1118"/>
    </row>
    <row r="29" spans="1:9" ht="18" x14ac:dyDescent="0.25">
      <c r="A29" s="1118" t="s">
        <v>643</v>
      </c>
      <c r="B29" s="1118"/>
      <c r="C29" s="1118"/>
      <c r="D29" s="1118"/>
      <c r="E29" s="1118"/>
      <c r="F29" s="1118"/>
      <c r="G29" s="1118"/>
      <c r="H29" s="1118"/>
      <c r="I29" s="1118"/>
    </row>
    <row r="30" spans="1:9" ht="18" x14ac:dyDescent="0.25">
      <c r="A30" s="1118" t="s">
        <v>644</v>
      </c>
      <c r="B30" s="1118"/>
      <c r="C30" s="1118"/>
      <c r="D30" s="1118"/>
      <c r="E30" s="1118"/>
      <c r="F30" s="1118"/>
      <c r="G30" s="1118"/>
      <c r="H30" s="1118"/>
      <c r="I30" s="1118"/>
    </row>
    <row r="31" spans="1:9" ht="18" x14ac:dyDescent="0.25">
      <c r="A31" s="1118" t="s">
        <v>645</v>
      </c>
      <c r="B31" s="1118"/>
      <c r="C31" s="1118"/>
      <c r="D31" s="1118"/>
      <c r="E31" s="1118"/>
      <c r="F31" s="1118"/>
      <c r="G31" s="1118"/>
      <c r="H31" s="1118"/>
      <c r="I31" s="1118"/>
    </row>
    <row r="32" spans="1:9" ht="18" x14ac:dyDescent="0.25">
      <c r="A32" s="1120" t="s">
        <v>646</v>
      </c>
      <c r="B32" s="1120"/>
      <c r="C32" s="1120"/>
      <c r="D32" s="1120"/>
      <c r="E32" s="1120"/>
      <c r="F32" s="1120"/>
      <c r="G32" s="1120"/>
      <c r="H32" s="1120"/>
      <c r="I32" s="1120"/>
    </row>
    <row r="33" spans="1:9" ht="18" x14ac:dyDescent="0.25">
      <c r="A33" s="1118" t="s">
        <v>647</v>
      </c>
      <c r="B33" s="1118"/>
      <c r="C33" s="1118"/>
      <c r="D33" s="1118"/>
      <c r="E33" s="1118"/>
      <c r="F33" s="1118"/>
      <c r="G33" s="1118"/>
      <c r="H33" s="1118"/>
      <c r="I33" s="1118"/>
    </row>
    <row r="34" spans="1:9" ht="18" x14ac:dyDescent="0.25">
      <c r="A34" s="1118" t="s">
        <v>648</v>
      </c>
      <c r="B34" s="1118"/>
      <c r="C34" s="1118"/>
      <c r="D34" s="1118"/>
      <c r="E34" s="1118"/>
      <c r="F34" s="1118"/>
      <c r="G34" s="1118"/>
      <c r="H34" s="1118"/>
      <c r="I34" s="1118"/>
    </row>
    <row r="35" spans="1:9" ht="18" x14ac:dyDescent="0.25">
      <c r="A35" s="1118" t="s">
        <v>649</v>
      </c>
      <c r="B35" s="1118"/>
      <c r="C35" s="1118"/>
      <c r="D35" s="1118"/>
      <c r="E35" s="1118"/>
      <c r="F35" s="1118"/>
      <c r="G35" s="1118"/>
      <c r="H35" s="1118"/>
      <c r="I35" s="1118"/>
    </row>
    <row r="36" spans="1:9" ht="18" x14ac:dyDescent="0.25">
      <c r="A36" s="1118" t="s">
        <v>650</v>
      </c>
      <c r="B36" s="1118"/>
      <c r="C36" s="1118"/>
      <c r="D36" s="1118"/>
      <c r="E36" s="1118"/>
      <c r="F36" s="1118"/>
      <c r="G36" s="1118"/>
      <c r="H36" s="1118"/>
      <c r="I36" s="1118"/>
    </row>
    <row r="37" spans="1:9" ht="18" x14ac:dyDescent="0.25">
      <c r="A37" s="1118" t="s">
        <v>651</v>
      </c>
      <c r="B37" s="1118"/>
      <c r="C37" s="1118"/>
      <c r="D37" s="1118"/>
      <c r="E37" s="1118"/>
      <c r="F37" s="1118"/>
      <c r="G37" s="1118"/>
      <c r="H37" s="1118"/>
      <c r="I37" s="1118"/>
    </row>
    <row r="38" spans="1:9" ht="18" x14ac:dyDescent="0.25">
      <c r="A38" s="1118" t="s">
        <v>652</v>
      </c>
      <c r="B38" s="1118"/>
      <c r="C38" s="1118"/>
      <c r="D38" s="1118"/>
      <c r="E38" s="1118"/>
      <c r="F38" s="1118"/>
      <c r="G38" s="1118"/>
      <c r="H38" s="1118"/>
      <c r="I38" s="1118"/>
    </row>
    <row r="39" spans="1:9" ht="18" x14ac:dyDescent="0.25">
      <c r="A39" s="1120" t="s">
        <v>653</v>
      </c>
      <c r="B39" s="1120"/>
      <c r="C39" s="1120"/>
      <c r="D39" s="1120"/>
      <c r="E39" s="1120"/>
      <c r="F39" s="1120"/>
      <c r="G39" s="1120"/>
      <c r="H39" s="1120"/>
      <c r="I39" s="1120"/>
    </row>
    <row r="40" spans="1:9" s="754" customFormat="1" ht="18" x14ac:dyDescent="0.25">
      <c r="A40" s="1118" t="s">
        <v>1199</v>
      </c>
      <c r="B40" s="1118"/>
      <c r="C40" s="1118"/>
      <c r="D40" s="1118"/>
      <c r="E40" s="1118"/>
      <c r="F40" s="1118"/>
      <c r="G40" s="1118"/>
      <c r="H40" s="1118"/>
      <c r="I40" s="1118"/>
    </row>
    <row r="41" spans="1:9" ht="18" x14ac:dyDescent="0.25">
      <c r="A41" s="1118" t="s">
        <v>654</v>
      </c>
      <c r="B41" s="1118"/>
      <c r="C41" s="1118"/>
      <c r="D41" s="1118"/>
      <c r="E41" s="1118"/>
      <c r="F41" s="1118"/>
      <c r="G41" s="1118"/>
      <c r="H41" s="1118"/>
      <c r="I41" s="1118"/>
    </row>
    <row r="42" spans="1:9" ht="18" x14ac:dyDescent="0.25">
      <c r="A42" s="1118" t="s">
        <v>655</v>
      </c>
      <c r="B42" s="1118"/>
      <c r="C42" s="1118"/>
      <c r="D42" s="1118"/>
      <c r="E42" s="1118"/>
      <c r="F42" s="1118"/>
      <c r="G42" s="1118"/>
      <c r="H42" s="1118"/>
      <c r="I42" s="1118"/>
    </row>
    <row r="43" spans="1:9" ht="18" x14ac:dyDescent="0.25">
      <c r="A43" s="1118" t="s">
        <v>656</v>
      </c>
      <c r="B43" s="1118"/>
      <c r="C43" s="1118"/>
      <c r="D43" s="1118"/>
      <c r="E43" s="1118"/>
      <c r="F43" s="1118"/>
      <c r="G43" s="1118"/>
      <c r="H43" s="1118"/>
      <c r="I43" s="1118"/>
    </row>
    <row r="44" spans="1:9" ht="18" x14ac:dyDescent="0.25">
      <c r="A44" s="1120" t="s">
        <v>657</v>
      </c>
      <c r="B44" s="1120"/>
      <c r="C44" s="1120"/>
      <c r="D44" s="1120"/>
      <c r="E44" s="1120"/>
      <c r="F44" s="1120"/>
      <c r="G44" s="1120"/>
      <c r="H44" s="1120"/>
      <c r="I44" s="1120"/>
    </row>
    <row r="45" spans="1:9" ht="18" x14ac:dyDescent="0.25">
      <c r="A45" s="1118" t="s">
        <v>658</v>
      </c>
      <c r="B45" s="1118"/>
      <c r="C45" s="1118"/>
      <c r="D45" s="1118"/>
      <c r="E45" s="1118"/>
      <c r="F45" s="1118"/>
      <c r="G45" s="1118"/>
      <c r="H45" s="1118"/>
      <c r="I45" s="1118"/>
    </row>
    <row r="46" spans="1:9" ht="18" x14ac:dyDescent="0.25">
      <c r="A46" s="1118" t="s">
        <v>659</v>
      </c>
      <c r="B46" s="1118"/>
      <c r="C46" s="1118"/>
      <c r="D46" s="1118"/>
      <c r="E46" s="1118"/>
      <c r="F46" s="1118"/>
      <c r="G46" s="1118"/>
      <c r="H46" s="1118"/>
      <c r="I46" s="1118"/>
    </row>
    <row r="47" spans="1:9" ht="18" x14ac:dyDescent="0.25">
      <c r="A47" s="1118" t="s">
        <v>660</v>
      </c>
      <c r="B47" s="1118"/>
      <c r="C47" s="1118"/>
      <c r="D47" s="1118"/>
      <c r="E47" s="1118"/>
      <c r="F47" s="1118"/>
      <c r="G47" s="1118"/>
      <c r="H47" s="1118"/>
      <c r="I47" s="1118"/>
    </row>
    <row r="48" spans="1:9" ht="18" x14ac:dyDescent="0.25">
      <c r="A48" s="1118" t="s">
        <v>661</v>
      </c>
      <c r="B48" s="1118"/>
      <c r="C48" s="1118"/>
      <c r="D48" s="1118"/>
      <c r="E48" s="1118"/>
      <c r="F48" s="1118"/>
      <c r="G48" s="1118"/>
      <c r="H48" s="1118"/>
      <c r="I48" s="1118"/>
    </row>
    <row r="49" spans="1:9" ht="18" x14ac:dyDescent="0.25">
      <c r="A49" s="1118" t="s">
        <v>662</v>
      </c>
      <c r="B49" s="1118"/>
      <c r="C49" s="1118"/>
      <c r="D49" s="1118"/>
      <c r="E49" s="1118"/>
      <c r="F49" s="1118"/>
      <c r="G49" s="1118"/>
      <c r="H49" s="1118"/>
      <c r="I49" s="1118"/>
    </row>
    <row r="50" spans="1:9" ht="18" x14ac:dyDescent="0.25">
      <c r="A50" s="1118" t="s">
        <v>663</v>
      </c>
      <c r="B50" s="1118"/>
      <c r="C50" s="1118"/>
      <c r="D50" s="1118"/>
      <c r="E50" s="1118"/>
      <c r="F50" s="1118"/>
      <c r="G50" s="1118"/>
      <c r="H50" s="1118"/>
      <c r="I50" s="1118"/>
    </row>
    <row r="51" spans="1:9" ht="18" x14ac:dyDescent="0.25">
      <c r="A51" s="1120" t="s">
        <v>664</v>
      </c>
      <c r="B51" s="1120"/>
      <c r="C51" s="1120"/>
      <c r="D51" s="1120"/>
      <c r="E51" s="1120"/>
      <c r="F51" s="1120"/>
      <c r="G51" s="1120"/>
      <c r="H51" s="1120"/>
      <c r="I51" s="1120"/>
    </row>
    <row r="52" spans="1:9" ht="18" x14ac:dyDescent="0.25">
      <c r="A52" s="1118" t="s">
        <v>665</v>
      </c>
      <c r="B52" s="1118"/>
      <c r="C52" s="1118"/>
      <c r="D52" s="1118"/>
      <c r="E52" s="1118"/>
      <c r="F52" s="1118"/>
      <c r="G52" s="1118"/>
      <c r="H52" s="1118"/>
      <c r="I52" s="1118"/>
    </row>
    <row r="53" spans="1:9" ht="18" x14ac:dyDescent="0.25">
      <c r="A53" s="1118" t="s">
        <v>666</v>
      </c>
      <c r="B53" s="1118"/>
      <c r="C53" s="1118"/>
      <c r="D53" s="1118"/>
      <c r="E53" s="1118"/>
      <c r="F53" s="1118"/>
      <c r="G53" s="1118"/>
      <c r="H53" s="1118"/>
      <c r="I53" s="1118"/>
    </row>
    <row r="54" spans="1:9" ht="18" x14ac:dyDescent="0.25">
      <c r="A54" s="1118" t="s">
        <v>667</v>
      </c>
      <c r="B54" s="1118"/>
      <c r="C54" s="1118"/>
      <c r="D54" s="1118"/>
      <c r="E54" s="1118"/>
      <c r="F54" s="1118"/>
      <c r="G54" s="1118"/>
      <c r="H54" s="1118"/>
      <c r="I54" s="1118"/>
    </row>
    <row r="55" spans="1:9" ht="18" x14ac:dyDescent="0.25">
      <c r="A55" s="1118" t="s">
        <v>668</v>
      </c>
      <c r="B55" s="1118"/>
      <c r="C55" s="1118"/>
      <c r="D55" s="1118"/>
      <c r="E55" s="1118"/>
      <c r="F55" s="1118"/>
      <c r="G55" s="1118"/>
      <c r="H55" s="1118"/>
      <c r="I55" s="1118"/>
    </row>
    <row r="56" spans="1:9" ht="18" x14ac:dyDescent="0.25">
      <c r="A56" s="1120" t="s">
        <v>669</v>
      </c>
      <c r="B56" s="1120"/>
      <c r="C56" s="1120"/>
      <c r="D56" s="1120"/>
      <c r="E56" s="1120"/>
      <c r="F56" s="1120"/>
      <c r="G56" s="1120"/>
      <c r="H56" s="1120"/>
      <c r="I56" s="1120"/>
    </row>
    <row r="57" spans="1:9" ht="18" x14ac:dyDescent="0.25">
      <c r="A57" s="1118" t="s">
        <v>670</v>
      </c>
      <c r="B57" s="1118"/>
      <c r="C57" s="1118"/>
      <c r="D57" s="1118"/>
      <c r="E57" s="1118"/>
      <c r="F57" s="1118"/>
      <c r="G57" s="1118"/>
      <c r="H57" s="1118"/>
      <c r="I57" s="1118"/>
    </row>
    <row r="58" spans="1:9" ht="18" x14ac:dyDescent="0.25">
      <c r="A58" s="1118" t="s">
        <v>671</v>
      </c>
      <c r="B58" s="1118"/>
      <c r="C58" s="1118"/>
      <c r="D58" s="1118"/>
      <c r="E58" s="1118"/>
      <c r="F58" s="1118"/>
      <c r="G58" s="1118"/>
      <c r="H58" s="1118"/>
      <c r="I58" s="1118"/>
    </row>
    <row r="59" spans="1:9" ht="18" x14ac:dyDescent="0.25">
      <c r="A59" s="1118" t="s">
        <v>672</v>
      </c>
      <c r="B59" s="1118"/>
      <c r="C59" s="1118"/>
      <c r="D59" s="1118"/>
      <c r="E59" s="1118"/>
      <c r="F59" s="1118"/>
      <c r="G59" s="1118"/>
      <c r="H59" s="1118"/>
      <c r="I59" s="1118"/>
    </row>
    <row r="60" spans="1:9" ht="18" x14ac:dyDescent="0.25">
      <c r="A60" s="1118" t="s">
        <v>673</v>
      </c>
      <c r="B60" s="1118"/>
      <c r="C60" s="1118"/>
      <c r="D60" s="1118"/>
      <c r="E60" s="1118"/>
      <c r="F60" s="1118"/>
      <c r="G60" s="1118"/>
      <c r="H60" s="1118"/>
      <c r="I60" s="1118"/>
    </row>
    <row r="61" spans="1:9" ht="18" x14ac:dyDescent="0.25">
      <c r="A61" s="1118" t="s">
        <v>674</v>
      </c>
      <c r="B61" s="1118"/>
      <c r="C61" s="1118"/>
      <c r="D61" s="1118"/>
      <c r="E61" s="1118"/>
      <c r="F61" s="1118"/>
      <c r="G61" s="1118"/>
      <c r="H61" s="1118"/>
      <c r="I61" s="1118"/>
    </row>
    <row r="62" spans="1:9" ht="18" x14ac:dyDescent="0.25">
      <c r="A62" s="1118" t="s">
        <v>675</v>
      </c>
      <c r="B62" s="1118"/>
      <c r="C62" s="1118"/>
      <c r="D62" s="1118"/>
      <c r="E62" s="1118"/>
      <c r="F62" s="1118"/>
      <c r="G62" s="1118"/>
      <c r="H62" s="1118"/>
      <c r="I62" s="1118"/>
    </row>
    <row r="63" spans="1:9" ht="18" x14ac:dyDescent="0.25">
      <c r="A63" s="1120" t="s">
        <v>676</v>
      </c>
      <c r="B63" s="1120"/>
      <c r="C63" s="1120"/>
      <c r="D63" s="1120"/>
      <c r="E63" s="1120"/>
      <c r="F63" s="1120"/>
      <c r="G63" s="1120"/>
      <c r="H63" s="1120"/>
      <c r="I63" s="1120"/>
    </row>
    <row r="64" spans="1:9" ht="18" x14ac:dyDescent="0.25">
      <c r="A64" s="1118" t="s">
        <v>677</v>
      </c>
      <c r="B64" s="1118"/>
      <c r="C64" s="1118"/>
      <c r="D64" s="1118"/>
      <c r="E64" s="1118"/>
      <c r="F64" s="1118"/>
      <c r="G64" s="1118"/>
      <c r="H64" s="1118"/>
      <c r="I64" s="1118"/>
    </row>
    <row r="65" spans="1:9" ht="18" x14ac:dyDescent="0.25">
      <c r="A65" s="1118" t="s">
        <v>678</v>
      </c>
      <c r="B65" s="1118"/>
      <c r="C65" s="1118"/>
      <c r="D65" s="1118"/>
      <c r="E65" s="1118"/>
      <c r="F65" s="1118"/>
      <c r="G65" s="1118"/>
      <c r="H65" s="1118"/>
      <c r="I65" s="1118"/>
    </row>
    <row r="66" spans="1:9" ht="18" x14ac:dyDescent="0.25">
      <c r="A66" s="1118" t="s">
        <v>679</v>
      </c>
      <c r="B66" s="1118"/>
      <c r="C66" s="1118"/>
      <c r="D66" s="1118"/>
      <c r="E66" s="1118"/>
      <c r="F66" s="1118"/>
      <c r="G66" s="1118"/>
      <c r="H66" s="1118"/>
      <c r="I66" s="1118"/>
    </row>
    <row r="67" spans="1:9" ht="18" x14ac:dyDescent="0.25">
      <c r="A67" s="1118" t="s">
        <v>680</v>
      </c>
      <c r="B67" s="1118"/>
      <c r="C67" s="1118"/>
      <c r="D67" s="1118"/>
      <c r="E67" s="1118"/>
      <c r="F67" s="1118"/>
      <c r="G67" s="1118"/>
      <c r="H67" s="1118"/>
      <c r="I67" s="1118"/>
    </row>
    <row r="68" spans="1:9" ht="18" x14ac:dyDescent="0.25">
      <c r="A68" s="1118" t="s">
        <v>681</v>
      </c>
      <c r="B68" s="1118"/>
      <c r="C68" s="1118"/>
      <c r="D68" s="1118"/>
      <c r="E68" s="1118"/>
      <c r="F68" s="1118"/>
      <c r="G68" s="1118"/>
      <c r="H68" s="1118"/>
      <c r="I68" s="1118"/>
    </row>
    <row r="69" spans="1:9" ht="40.5" customHeight="1" x14ac:dyDescent="0.25">
      <c r="A69" s="1120" t="s">
        <v>682</v>
      </c>
      <c r="B69" s="1120"/>
      <c r="C69" s="1120"/>
      <c r="D69" s="1120"/>
      <c r="E69" s="1120"/>
      <c r="F69" s="1120"/>
      <c r="G69" s="1120"/>
      <c r="H69" s="1120"/>
      <c r="I69" s="1120"/>
    </row>
    <row r="70" spans="1:9" ht="18" x14ac:dyDescent="0.25">
      <c r="A70" s="1118" t="s">
        <v>683</v>
      </c>
      <c r="B70" s="1118"/>
      <c r="C70" s="1118"/>
      <c r="D70" s="1118"/>
      <c r="E70" s="1118"/>
      <c r="F70" s="1118"/>
      <c r="G70" s="1118"/>
      <c r="H70" s="1118"/>
      <c r="I70" s="1118"/>
    </row>
    <row r="71" spans="1:9" ht="18" x14ac:dyDescent="0.25">
      <c r="A71" s="1121" t="s">
        <v>684</v>
      </c>
      <c r="B71" s="1121"/>
      <c r="C71" s="1121"/>
      <c r="D71" s="1121"/>
      <c r="E71" s="1121"/>
      <c r="F71" s="1121"/>
      <c r="G71" s="1121"/>
      <c r="H71" s="1121"/>
      <c r="I71" s="1121"/>
    </row>
    <row r="72" spans="1:9" ht="18" x14ac:dyDescent="0.25">
      <c r="A72" s="1121" t="s">
        <v>685</v>
      </c>
      <c r="B72" s="1121"/>
      <c r="C72" s="1121"/>
      <c r="D72" s="1121"/>
      <c r="E72" s="1121"/>
      <c r="F72" s="1121"/>
      <c r="G72" s="1121"/>
      <c r="H72" s="1121"/>
      <c r="I72" s="1121"/>
    </row>
    <row r="73" spans="1:9" ht="18" x14ac:dyDescent="0.25">
      <c r="A73" s="1121" t="s">
        <v>686</v>
      </c>
      <c r="B73" s="1121"/>
      <c r="C73" s="1121"/>
      <c r="D73" s="1121"/>
      <c r="E73" s="1121"/>
      <c r="F73" s="1121"/>
      <c r="G73" s="1121"/>
      <c r="H73" s="1121"/>
      <c r="I73" s="1121"/>
    </row>
    <row r="74" spans="1:9" ht="18" x14ac:dyDescent="0.25">
      <c r="A74" s="1119" t="s">
        <v>687</v>
      </c>
      <c r="B74" s="1119"/>
      <c r="C74" s="1119"/>
      <c r="D74" s="1119"/>
      <c r="E74" s="1119"/>
      <c r="F74" s="1119"/>
      <c r="G74" s="1119"/>
      <c r="H74" s="1119"/>
      <c r="I74" s="1119"/>
    </row>
    <row r="75" spans="1:9" ht="18" x14ac:dyDescent="0.25">
      <c r="A75" s="1118" t="s">
        <v>688</v>
      </c>
      <c r="B75" s="1118"/>
      <c r="C75" s="1118"/>
      <c r="D75" s="1118"/>
      <c r="E75" s="1118"/>
      <c r="F75" s="1118"/>
      <c r="G75" s="1118"/>
      <c r="H75" s="1118"/>
      <c r="I75" s="1118"/>
    </row>
    <row r="76" spans="1:9" ht="18" x14ac:dyDescent="0.25">
      <c r="A76" s="1120" t="s">
        <v>689</v>
      </c>
      <c r="B76" s="1120"/>
      <c r="C76" s="1120"/>
      <c r="D76" s="1120"/>
      <c r="E76" s="1120"/>
      <c r="F76" s="1120"/>
      <c r="G76" s="1120"/>
      <c r="H76" s="1120"/>
      <c r="I76" s="1120"/>
    </row>
    <row r="77" spans="1:9" ht="18" x14ac:dyDescent="0.25">
      <c r="A77" s="1118" t="s">
        <v>690</v>
      </c>
      <c r="B77" s="1118"/>
      <c r="C77" s="1118"/>
      <c r="D77" s="1118"/>
      <c r="E77" s="1118"/>
      <c r="F77" s="1118"/>
      <c r="G77" s="1118"/>
      <c r="H77" s="1118"/>
      <c r="I77" s="1118"/>
    </row>
    <row r="78" spans="1:9" ht="18" x14ac:dyDescent="0.25">
      <c r="A78" s="1118" t="s">
        <v>691</v>
      </c>
      <c r="B78" s="1118"/>
      <c r="C78" s="1118"/>
      <c r="D78" s="1118"/>
      <c r="E78" s="1118"/>
      <c r="F78" s="1118"/>
      <c r="G78" s="1118"/>
      <c r="H78" s="1118"/>
      <c r="I78" s="1118"/>
    </row>
    <row r="79" spans="1:9" ht="18" x14ac:dyDescent="0.25">
      <c r="A79" s="1118" t="s">
        <v>692</v>
      </c>
      <c r="B79" s="1118"/>
      <c r="C79" s="1118"/>
      <c r="D79" s="1118"/>
      <c r="E79" s="1118"/>
      <c r="F79" s="1118"/>
      <c r="G79" s="1118"/>
      <c r="H79" s="1118"/>
      <c r="I79" s="1118"/>
    </row>
    <row r="80" spans="1:9" ht="18" x14ac:dyDescent="0.25">
      <c r="A80" s="1118" t="s">
        <v>693</v>
      </c>
      <c r="B80" s="1118"/>
      <c r="C80" s="1118"/>
      <c r="D80" s="1118"/>
      <c r="E80" s="1118"/>
      <c r="F80" s="1118"/>
      <c r="G80" s="1118"/>
      <c r="H80" s="1118"/>
      <c r="I80" s="1118"/>
    </row>
    <row r="81" spans="1:9" ht="18" x14ac:dyDescent="0.25">
      <c r="A81" s="1118" t="s">
        <v>694</v>
      </c>
      <c r="B81" s="1118"/>
      <c r="C81" s="1118"/>
      <c r="D81" s="1118"/>
      <c r="E81" s="1118"/>
      <c r="F81" s="1118"/>
      <c r="G81" s="1118"/>
      <c r="H81" s="1118"/>
      <c r="I81" s="1118"/>
    </row>
    <row r="82" spans="1:9" ht="18" x14ac:dyDescent="0.25">
      <c r="A82" s="1120" t="s">
        <v>695</v>
      </c>
      <c r="B82" s="1120"/>
      <c r="C82" s="1120"/>
      <c r="D82" s="1120"/>
      <c r="E82" s="1120"/>
      <c r="F82" s="1120"/>
      <c r="G82" s="1120"/>
      <c r="H82" s="1120"/>
      <c r="I82" s="1120"/>
    </row>
    <row r="83" spans="1:9" ht="18" x14ac:dyDescent="0.25">
      <c r="A83" s="1122" t="s">
        <v>696</v>
      </c>
      <c r="B83" s="1122"/>
      <c r="C83" s="1122"/>
      <c r="D83" s="1122"/>
      <c r="E83" s="1122"/>
      <c r="F83" s="1122"/>
      <c r="G83" s="1122"/>
      <c r="H83" s="1122"/>
      <c r="I83" s="1122"/>
    </row>
    <row r="84" spans="1:9" ht="18" x14ac:dyDescent="0.25">
      <c r="A84" s="1122" t="s">
        <v>697</v>
      </c>
      <c r="B84" s="1122"/>
      <c r="C84" s="1122"/>
      <c r="D84" s="1122"/>
      <c r="E84" s="1122"/>
      <c r="F84" s="1122"/>
      <c r="G84" s="1122"/>
      <c r="H84" s="1122"/>
      <c r="I84" s="1122"/>
    </row>
    <row r="85" spans="1:9" ht="18" x14ac:dyDescent="0.25">
      <c r="A85" s="1122" t="s">
        <v>698</v>
      </c>
      <c r="B85" s="1122"/>
      <c r="C85" s="1122"/>
      <c r="D85" s="1122"/>
      <c r="E85" s="1122"/>
      <c r="F85" s="1122"/>
      <c r="G85" s="1122"/>
      <c r="H85" s="1122"/>
      <c r="I85" s="1122"/>
    </row>
    <row r="86" spans="1:9" ht="18" x14ac:dyDescent="0.25">
      <c r="A86" s="1122" t="s">
        <v>699</v>
      </c>
      <c r="B86" s="1122"/>
      <c r="C86" s="1122"/>
      <c r="D86" s="1122"/>
      <c r="E86" s="1122"/>
      <c r="F86" s="1122"/>
      <c r="G86" s="1122"/>
      <c r="H86" s="1122"/>
      <c r="I86" s="1122"/>
    </row>
    <row r="87" spans="1:9" ht="18" x14ac:dyDescent="0.25">
      <c r="A87" s="1122" t="s">
        <v>700</v>
      </c>
      <c r="B87" s="1122"/>
      <c r="C87" s="1122"/>
      <c r="D87" s="1122"/>
      <c r="E87" s="1122"/>
      <c r="F87" s="1122"/>
      <c r="G87" s="1122"/>
      <c r="H87" s="1122"/>
      <c r="I87" s="1122"/>
    </row>
    <row r="88" spans="1:9" ht="18" x14ac:dyDescent="0.25">
      <c r="A88" s="1122" t="s">
        <v>701</v>
      </c>
      <c r="B88" s="1122"/>
      <c r="C88" s="1122"/>
      <c r="D88" s="1122"/>
      <c r="E88" s="1122"/>
      <c r="F88" s="1122"/>
      <c r="G88" s="1122"/>
      <c r="H88" s="1122"/>
      <c r="I88" s="1122"/>
    </row>
    <row r="89" spans="1:9" ht="18" x14ac:dyDescent="0.25">
      <c r="A89" s="1123" t="s">
        <v>702</v>
      </c>
      <c r="B89" s="1123"/>
      <c r="C89" s="1123"/>
      <c r="D89" s="1123"/>
      <c r="E89" s="1123"/>
      <c r="F89" s="1123"/>
      <c r="G89" s="1123"/>
      <c r="H89" s="1123"/>
      <c r="I89" s="1123"/>
    </row>
    <row r="90" spans="1:9" ht="18" x14ac:dyDescent="0.25">
      <c r="A90" s="1118" t="s">
        <v>703</v>
      </c>
      <c r="B90" s="1118"/>
      <c r="C90" s="1118"/>
      <c r="D90" s="1118"/>
      <c r="E90" s="1118"/>
      <c r="F90" s="1118"/>
      <c r="G90" s="1118"/>
      <c r="H90" s="1118"/>
      <c r="I90" s="1118"/>
    </row>
    <row r="91" spans="1:9" ht="18" x14ac:dyDescent="0.25">
      <c r="A91" s="1118" t="s">
        <v>704</v>
      </c>
      <c r="B91" s="1118"/>
      <c r="C91" s="1118"/>
      <c r="D91" s="1118"/>
      <c r="E91" s="1118"/>
      <c r="F91" s="1118"/>
      <c r="G91" s="1118"/>
      <c r="H91" s="1118"/>
      <c r="I91" s="1118"/>
    </row>
    <row r="92" spans="1:9" ht="18" x14ac:dyDescent="0.25">
      <c r="A92" s="1118" t="s">
        <v>705</v>
      </c>
      <c r="B92" s="1118"/>
      <c r="C92" s="1118"/>
      <c r="D92" s="1118"/>
      <c r="E92" s="1118"/>
      <c r="F92" s="1118"/>
      <c r="G92" s="1118"/>
      <c r="H92" s="1118"/>
      <c r="I92" s="1118"/>
    </row>
    <row r="93" spans="1:9" ht="18" x14ac:dyDescent="0.25">
      <c r="A93" s="1118" t="s">
        <v>706</v>
      </c>
      <c r="B93" s="1118"/>
      <c r="C93" s="1118"/>
      <c r="D93" s="1118"/>
      <c r="E93" s="1118"/>
      <c r="F93" s="1118"/>
      <c r="G93" s="1118"/>
      <c r="H93" s="1118"/>
      <c r="I93" s="1118"/>
    </row>
    <row r="94" spans="1:9" ht="18" x14ac:dyDescent="0.25">
      <c r="A94" s="1118" t="s">
        <v>707</v>
      </c>
      <c r="B94" s="1118"/>
      <c r="C94" s="1118"/>
      <c r="D94" s="1118"/>
      <c r="E94" s="1118"/>
      <c r="F94" s="1118"/>
      <c r="G94" s="1118"/>
      <c r="H94" s="1118"/>
      <c r="I94" s="1118"/>
    </row>
    <row r="95" spans="1:9" ht="18" x14ac:dyDescent="0.25">
      <c r="A95" s="1118" t="s">
        <v>708</v>
      </c>
      <c r="B95" s="1118"/>
      <c r="C95" s="1118"/>
      <c r="D95" s="1118"/>
      <c r="E95" s="1118"/>
      <c r="F95" s="1118"/>
      <c r="G95" s="1118"/>
      <c r="H95" s="1118"/>
      <c r="I95" s="1118"/>
    </row>
    <row r="96" spans="1:9" ht="18" x14ac:dyDescent="0.25">
      <c r="A96" s="1120" t="s">
        <v>1200</v>
      </c>
      <c r="B96" s="1120"/>
      <c r="C96" s="1120"/>
      <c r="D96" s="1120"/>
      <c r="E96" s="1120"/>
      <c r="F96" s="1120"/>
      <c r="G96" s="1120"/>
      <c r="H96" s="1120"/>
      <c r="I96" s="1120"/>
    </row>
    <row r="97" spans="1:9" ht="18" x14ac:dyDescent="0.25">
      <c r="A97" s="1118" t="s">
        <v>709</v>
      </c>
      <c r="B97" s="1118"/>
      <c r="C97" s="1118"/>
      <c r="D97" s="1118"/>
      <c r="E97" s="1118"/>
      <c r="F97" s="1118"/>
      <c r="G97" s="1118"/>
      <c r="H97" s="1118"/>
      <c r="I97" s="1118"/>
    </row>
    <row r="98" spans="1:9" ht="18" x14ac:dyDescent="0.25">
      <c r="A98" s="1118" t="s">
        <v>710</v>
      </c>
      <c r="B98" s="1118"/>
      <c r="C98" s="1118"/>
      <c r="D98" s="1118"/>
      <c r="E98" s="1118"/>
      <c r="F98" s="1118"/>
      <c r="G98" s="1118"/>
      <c r="H98" s="1118"/>
      <c r="I98" s="1118"/>
    </row>
    <row r="99" spans="1:9" ht="18" x14ac:dyDescent="0.25">
      <c r="A99" s="1118" t="s">
        <v>711</v>
      </c>
      <c r="B99" s="1118"/>
      <c r="C99" s="1118"/>
      <c r="D99" s="1118"/>
      <c r="E99" s="1118"/>
      <c r="F99" s="1118"/>
      <c r="G99" s="1118"/>
      <c r="H99" s="1118"/>
      <c r="I99" s="1118"/>
    </row>
    <row r="100" spans="1:9" ht="18" x14ac:dyDescent="0.25">
      <c r="A100" s="1118" t="s">
        <v>712</v>
      </c>
      <c r="B100" s="1118"/>
      <c r="C100" s="1118"/>
      <c r="D100" s="1118"/>
      <c r="E100" s="1118"/>
      <c r="F100" s="1118"/>
      <c r="G100" s="1118"/>
      <c r="H100" s="1118"/>
      <c r="I100" s="1118"/>
    </row>
    <row r="101" spans="1:9" ht="18" x14ac:dyDescent="0.25">
      <c r="A101" s="1118" t="s">
        <v>713</v>
      </c>
      <c r="B101" s="1118"/>
      <c r="C101" s="1118"/>
      <c r="D101" s="1118"/>
      <c r="E101" s="1118"/>
      <c r="F101" s="1118"/>
      <c r="G101" s="1118"/>
      <c r="H101" s="1118"/>
      <c r="I101" s="1118"/>
    </row>
    <row r="102" spans="1:9" ht="18" x14ac:dyDescent="0.25">
      <c r="A102" s="1120" t="s">
        <v>1201</v>
      </c>
      <c r="B102" s="1120"/>
      <c r="C102" s="1120"/>
      <c r="D102" s="1120"/>
      <c r="E102" s="1120"/>
      <c r="F102" s="1120"/>
      <c r="G102" s="1120"/>
      <c r="H102" s="1120"/>
      <c r="I102" s="1120"/>
    </row>
    <row r="103" spans="1:9" ht="18" x14ac:dyDescent="0.25">
      <c r="A103" s="1118" t="s">
        <v>714</v>
      </c>
      <c r="B103" s="1118"/>
      <c r="C103" s="1118"/>
      <c r="D103" s="1118"/>
      <c r="E103" s="1118"/>
      <c r="F103" s="1118"/>
      <c r="G103" s="1118"/>
      <c r="H103" s="1118"/>
      <c r="I103" s="1118"/>
    </row>
    <row r="104" spans="1:9" ht="18" x14ac:dyDescent="0.25">
      <c r="A104" s="1118" t="s">
        <v>715</v>
      </c>
      <c r="B104" s="1118"/>
      <c r="C104" s="1118"/>
      <c r="D104" s="1118"/>
      <c r="E104" s="1118"/>
      <c r="F104" s="1118"/>
      <c r="G104" s="1118"/>
      <c r="H104" s="1118"/>
      <c r="I104" s="1118"/>
    </row>
    <row r="105" spans="1:9" ht="18" x14ac:dyDescent="0.25">
      <c r="A105" s="1118" t="s">
        <v>716</v>
      </c>
      <c r="B105" s="1118"/>
      <c r="C105" s="1118"/>
      <c r="D105" s="1118"/>
      <c r="E105" s="1118"/>
      <c r="F105" s="1118"/>
      <c r="G105" s="1118"/>
      <c r="H105" s="1118"/>
      <c r="I105" s="1118"/>
    </row>
    <row r="106" spans="1:9" ht="18" x14ac:dyDescent="0.25">
      <c r="A106" s="1118" t="s">
        <v>717</v>
      </c>
      <c r="B106" s="1118"/>
      <c r="C106" s="1118"/>
      <c r="D106" s="1118"/>
      <c r="E106" s="1118"/>
      <c r="F106" s="1118"/>
      <c r="G106" s="1118"/>
      <c r="H106" s="1118"/>
      <c r="I106" s="1118"/>
    </row>
    <row r="107" spans="1:9" ht="18" x14ac:dyDescent="0.25">
      <c r="A107" s="1118" t="s">
        <v>718</v>
      </c>
      <c r="B107" s="1118"/>
      <c r="C107" s="1118"/>
      <c r="D107" s="1118"/>
      <c r="E107" s="1118"/>
      <c r="F107" s="1118"/>
      <c r="G107" s="1118"/>
      <c r="H107" s="1118"/>
      <c r="I107" s="1118"/>
    </row>
    <row r="108" spans="1:9" ht="18" x14ac:dyDescent="0.25">
      <c r="A108" s="1118" t="s">
        <v>719</v>
      </c>
      <c r="B108" s="1118"/>
      <c r="C108" s="1118"/>
      <c r="D108" s="1118"/>
      <c r="E108" s="1118"/>
      <c r="F108" s="1118"/>
      <c r="G108" s="1118"/>
      <c r="H108" s="1118"/>
      <c r="I108" s="1118"/>
    </row>
    <row r="109" spans="1:9" ht="18" x14ac:dyDescent="0.25">
      <c r="A109" s="1118" t="s">
        <v>720</v>
      </c>
      <c r="B109" s="1118"/>
      <c r="C109" s="1118"/>
      <c r="D109" s="1118"/>
      <c r="E109" s="1118"/>
      <c r="F109" s="1118"/>
      <c r="G109" s="1118"/>
      <c r="H109" s="1118"/>
      <c r="I109" s="1118"/>
    </row>
    <row r="110" spans="1:9" ht="18" x14ac:dyDescent="0.25">
      <c r="A110" s="1120" t="s">
        <v>721</v>
      </c>
      <c r="B110" s="1120"/>
      <c r="C110" s="1120"/>
      <c r="D110" s="1120"/>
      <c r="E110" s="1120"/>
      <c r="F110" s="1120"/>
      <c r="G110" s="1120"/>
      <c r="H110" s="1120"/>
      <c r="I110" s="1120"/>
    </row>
    <row r="111" spans="1:9" ht="18" x14ac:dyDescent="0.25">
      <c r="A111" s="1118" t="s">
        <v>722</v>
      </c>
      <c r="B111" s="1118"/>
      <c r="C111" s="1118"/>
      <c r="D111" s="1118"/>
      <c r="E111" s="1118"/>
      <c r="F111" s="1118"/>
      <c r="G111" s="1118"/>
      <c r="H111" s="1118"/>
      <c r="I111" s="1118"/>
    </row>
    <row r="112" spans="1:9" ht="18" x14ac:dyDescent="0.25">
      <c r="A112" s="1118" t="s">
        <v>1129</v>
      </c>
      <c r="B112" s="1118"/>
      <c r="C112" s="1118"/>
      <c r="D112" s="1118"/>
      <c r="E112" s="1118"/>
      <c r="F112" s="1118"/>
      <c r="G112" s="1118"/>
      <c r="H112" s="1118"/>
      <c r="I112" s="1118"/>
    </row>
    <row r="113" spans="1:9" ht="18" x14ac:dyDescent="0.25">
      <c r="A113" s="1118" t="s">
        <v>1130</v>
      </c>
      <c r="B113" s="1118"/>
      <c r="C113" s="1118"/>
      <c r="D113" s="1118"/>
      <c r="E113" s="1118"/>
      <c r="F113" s="1118"/>
      <c r="G113" s="1118"/>
      <c r="H113" s="1118"/>
      <c r="I113" s="1118"/>
    </row>
    <row r="114" spans="1:9" ht="18" x14ac:dyDescent="0.25">
      <c r="A114" s="1118" t="s">
        <v>1131</v>
      </c>
      <c r="B114" s="1118"/>
      <c r="C114" s="1118"/>
      <c r="D114" s="1118"/>
      <c r="E114" s="1118"/>
      <c r="F114" s="1118"/>
      <c r="G114" s="1118"/>
      <c r="H114" s="1118"/>
      <c r="I114" s="1118"/>
    </row>
    <row r="115" spans="1:9" ht="18" x14ac:dyDescent="0.25">
      <c r="A115" s="1118" t="s">
        <v>1132</v>
      </c>
      <c r="B115" s="1118"/>
      <c r="C115" s="1118"/>
      <c r="D115" s="1118"/>
      <c r="E115" s="1118"/>
      <c r="F115" s="1118"/>
      <c r="G115" s="1118"/>
      <c r="H115" s="1118"/>
      <c r="I115" s="1118"/>
    </row>
    <row r="116" spans="1:9" ht="18" x14ac:dyDescent="0.25">
      <c r="A116" s="1120" t="s">
        <v>1203</v>
      </c>
      <c r="B116" s="1120"/>
      <c r="C116" s="1120"/>
      <c r="D116" s="1120"/>
      <c r="E116" s="1120"/>
      <c r="F116" s="1120"/>
      <c r="G116" s="1120"/>
      <c r="H116" s="1120"/>
      <c r="I116" s="1120"/>
    </row>
    <row r="117" spans="1:9" ht="18" x14ac:dyDescent="0.25">
      <c r="A117" s="1122" t="s">
        <v>1133</v>
      </c>
      <c r="B117" s="1122"/>
      <c r="C117" s="1122"/>
      <c r="D117" s="1122"/>
      <c r="E117" s="1122"/>
      <c r="F117" s="1122"/>
      <c r="G117" s="1122"/>
      <c r="H117" s="1122"/>
      <c r="I117" s="1122"/>
    </row>
    <row r="118" spans="1:9" ht="18" x14ac:dyDescent="0.25">
      <c r="A118" s="1122" t="s">
        <v>1134</v>
      </c>
      <c r="B118" s="1122"/>
      <c r="C118" s="1122"/>
      <c r="D118" s="1122"/>
      <c r="E118" s="1122"/>
      <c r="F118" s="1122"/>
      <c r="G118" s="1122"/>
      <c r="H118" s="1122"/>
      <c r="I118" s="1122"/>
    </row>
    <row r="119" spans="1:9" ht="18" x14ac:dyDescent="0.25">
      <c r="A119" s="1122" t="s">
        <v>1135</v>
      </c>
      <c r="B119" s="1122"/>
      <c r="C119" s="1122"/>
      <c r="D119" s="1122"/>
      <c r="E119" s="1122"/>
      <c r="F119" s="1122"/>
      <c r="G119" s="1122"/>
      <c r="H119" s="1122"/>
      <c r="I119" s="1122"/>
    </row>
    <row r="120" spans="1:9" ht="17.25" customHeight="1" x14ac:dyDescent="0.25">
      <c r="A120" s="1122" t="s">
        <v>1136</v>
      </c>
      <c r="B120" s="1122"/>
      <c r="C120" s="1122"/>
      <c r="D120" s="1122"/>
      <c r="E120" s="1122"/>
      <c r="F120" s="1122"/>
      <c r="G120" s="1122"/>
      <c r="H120" s="1122"/>
      <c r="I120" s="1122"/>
    </row>
    <row r="121" spans="1:9" ht="18" x14ac:dyDescent="0.25">
      <c r="A121" s="1122" t="s">
        <v>723</v>
      </c>
      <c r="B121" s="1122"/>
      <c r="C121" s="1122"/>
      <c r="D121" s="1122"/>
      <c r="E121" s="1122"/>
      <c r="F121" s="1122"/>
      <c r="G121" s="1122"/>
      <c r="H121" s="1122"/>
      <c r="I121" s="1122"/>
    </row>
    <row r="122" spans="1:9" ht="18" x14ac:dyDescent="0.25">
      <c r="A122" s="1122" t="s">
        <v>724</v>
      </c>
      <c r="B122" s="1122"/>
      <c r="C122" s="1122"/>
      <c r="D122" s="1122"/>
      <c r="E122" s="1122"/>
      <c r="F122" s="1122"/>
      <c r="G122" s="1122"/>
      <c r="H122" s="1122"/>
      <c r="I122" s="1122"/>
    </row>
    <row r="123" spans="1:9" ht="18" x14ac:dyDescent="0.25">
      <c r="A123" s="1120" t="s">
        <v>1204</v>
      </c>
      <c r="B123" s="1120"/>
      <c r="C123" s="1120"/>
      <c r="D123" s="1120"/>
      <c r="E123" s="1120"/>
      <c r="F123" s="1120"/>
      <c r="G123" s="1120"/>
      <c r="H123" s="1120"/>
      <c r="I123" s="1120"/>
    </row>
    <row r="124" spans="1:9" ht="18" x14ac:dyDescent="0.25">
      <c r="A124" s="1118" t="s">
        <v>725</v>
      </c>
      <c r="B124" s="1118"/>
      <c r="C124" s="1118"/>
      <c r="D124" s="1118"/>
      <c r="E124" s="1118"/>
      <c r="F124" s="1118"/>
      <c r="G124" s="1118"/>
      <c r="H124" s="1118"/>
      <c r="I124" s="1118"/>
    </row>
    <row r="125" spans="1:9" ht="18" x14ac:dyDescent="0.25">
      <c r="A125" s="1118" t="s">
        <v>726</v>
      </c>
      <c r="B125" s="1118"/>
      <c r="C125" s="1118"/>
      <c r="D125" s="1118"/>
      <c r="E125" s="1118"/>
      <c r="F125" s="1118"/>
      <c r="G125" s="1118"/>
      <c r="H125" s="1118"/>
      <c r="I125" s="1118"/>
    </row>
    <row r="126" spans="1:9" ht="18" x14ac:dyDescent="0.25">
      <c r="A126" s="1118" t="s">
        <v>727</v>
      </c>
      <c r="B126" s="1118"/>
      <c r="C126" s="1118"/>
      <c r="D126" s="1118"/>
      <c r="E126" s="1118"/>
      <c r="F126" s="1118"/>
      <c r="G126" s="1118"/>
      <c r="H126" s="1118"/>
      <c r="I126" s="1118"/>
    </row>
    <row r="127" spans="1:9" ht="18" x14ac:dyDescent="0.25">
      <c r="A127" s="1118" t="s">
        <v>728</v>
      </c>
      <c r="B127" s="1118"/>
      <c r="C127" s="1118"/>
      <c r="D127" s="1118"/>
      <c r="E127" s="1118"/>
      <c r="F127" s="1118"/>
      <c r="G127" s="1118"/>
      <c r="H127" s="1118"/>
      <c r="I127" s="1118"/>
    </row>
    <row r="128" spans="1:9" ht="18" x14ac:dyDescent="0.25">
      <c r="A128" s="1118" t="s">
        <v>729</v>
      </c>
      <c r="B128" s="1118"/>
      <c r="C128" s="1118"/>
      <c r="D128" s="1118"/>
      <c r="E128" s="1118"/>
      <c r="F128" s="1118"/>
      <c r="G128" s="1118"/>
      <c r="H128" s="1118"/>
      <c r="I128" s="1118"/>
    </row>
    <row r="129" spans="1:9" ht="18" x14ac:dyDescent="0.25">
      <c r="A129" s="1118" t="s">
        <v>730</v>
      </c>
      <c r="B129" s="1118"/>
      <c r="C129" s="1118"/>
      <c r="D129" s="1118"/>
      <c r="E129" s="1118"/>
      <c r="F129" s="1118"/>
      <c r="G129" s="1118"/>
      <c r="H129" s="1118"/>
      <c r="I129" s="1118"/>
    </row>
    <row r="130" spans="1:9" ht="18" x14ac:dyDescent="0.25">
      <c r="A130" s="1120" t="s">
        <v>731</v>
      </c>
      <c r="B130" s="1120"/>
      <c r="C130" s="1120"/>
      <c r="D130" s="1120"/>
      <c r="E130" s="1120"/>
      <c r="F130" s="1120"/>
      <c r="G130" s="1120"/>
      <c r="H130" s="1120"/>
      <c r="I130" s="1120"/>
    </row>
    <row r="131" spans="1:9" ht="18" x14ac:dyDescent="0.25">
      <c r="A131" s="1118" t="s">
        <v>732</v>
      </c>
      <c r="B131" s="1118"/>
      <c r="C131" s="1118"/>
      <c r="D131" s="1118"/>
      <c r="E131" s="1118"/>
      <c r="F131" s="1118"/>
      <c r="G131" s="1118"/>
      <c r="H131" s="1118"/>
      <c r="I131" s="1118"/>
    </row>
    <row r="132" spans="1:9" ht="18" x14ac:dyDescent="0.25">
      <c r="A132" s="1118" t="s">
        <v>733</v>
      </c>
      <c r="B132" s="1118"/>
      <c r="C132" s="1118"/>
      <c r="D132" s="1118"/>
      <c r="E132" s="1118"/>
      <c r="F132" s="1118"/>
      <c r="G132" s="1118"/>
      <c r="H132" s="1118"/>
      <c r="I132" s="1118"/>
    </row>
    <row r="133" spans="1:9" ht="18" x14ac:dyDescent="0.25">
      <c r="A133" s="1118" t="s">
        <v>734</v>
      </c>
      <c r="B133" s="1118"/>
      <c r="C133" s="1118"/>
      <c r="D133" s="1118"/>
      <c r="E133" s="1118"/>
      <c r="F133" s="1118"/>
      <c r="G133" s="1118"/>
      <c r="H133" s="1118"/>
      <c r="I133" s="1118"/>
    </row>
    <row r="134" spans="1:9" ht="18" x14ac:dyDescent="0.25">
      <c r="A134" s="1118" t="s">
        <v>735</v>
      </c>
      <c r="B134" s="1118"/>
      <c r="C134" s="1118"/>
      <c r="D134" s="1118"/>
      <c r="E134" s="1118"/>
      <c r="F134" s="1118"/>
      <c r="G134" s="1118"/>
      <c r="H134" s="1118"/>
      <c r="I134" s="1118"/>
    </row>
    <row r="135" spans="1:9" ht="18" x14ac:dyDescent="0.25">
      <c r="A135" s="1118" t="s">
        <v>736</v>
      </c>
      <c r="B135" s="1118"/>
      <c r="C135" s="1118"/>
      <c r="D135" s="1118"/>
      <c r="E135" s="1118"/>
      <c r="F135" s="1118"/>
      <c r="G135" s="1118"/>
      <c r="H135" s="1118"/>
      <c r="I135" s="1118"/>
    </row>
    <row r="136" spans="1:9" ht="18" x14ac:dyDescent="0.25">
      <c r="A136" s="1118" t="s">
        <v>737</v>
      </c>
      <c r="B136" s="1118"/>
      <c r="C136" s="1118"/>
      <c r="D136" s="1118"/>
      <c r="E136" s="1118"/>
      <c r="F136" s="1118"/>
      <c r="G136" s="1118"/>
      <c r="H136" s="1118"/>
      <c r="I136" s="1118"/>
    </row>
    <row r="137" spans="1:9" ht="18" x14ac:dyDescent="0.25">
      <c r="A137" s="1117" t="s">
        <v>1137</v>
      </c>
      <c r="B137" s="1120"/>
      <c r="C137" s="1120"/>
      <c r="D137" s="1120"/>
      <c r="E137" s="1120"/>
      <c r="F137" s="1120"/>
      <c r="G137" s="1120"/>
      <c r="H137" s="1120"/>
      <c r="I137" s="1120"/>
    </row>
    <row r="138" spans="1:9" ht="18" x14ac:dyDescent="0.25">
      <c r="A138" s="1118" t="s">
        <v>1138</v>
      </c>
      <c r="B138" s="1118"/>
      <c r="C138" s="1118"/>
      <c r="D138" s="1118"/>
      <c r="E138" s="1118"/>
      <c r="F138" s="1118"/>
      <c r="G138" s="1118"/>
      <c r="H138" s="1118"/>
      <c r="I138" s="1118"/>
    </row>
    <row r="139" spans="1:9" s="754" customFormat="1" ht="18" x14ac:dyDescent="0.25">
      <c r="A139" s="1118" t="s">
        <v>1190</v>
      </c>
      <c r="B139" s="1118"/>
      <c r="C139" s="1118"/>
      <c r="D139" s="1118"/>
      <c r="E139" s="1118"/>
      <c r="F139" s="1118"/>
      <c r="G139" s="1118"/>
      <c r="H139" s="1118"/>
      <c r="I139" s="1118"/>
    </row>
    <row r="140" spans="1:9" s="754" customFormat="1" ht="18" x14ac:dyDescent="0.25">
      <c r="A140" s="1118" t="s">
        <v>1191</v>
      </c>
      <c r="B140" s="1118"/>
      <c r="C140" s="1118"/>
      <c r="D140" s="1118"/>
      <c r="E140" s="1118"/>
      <c r="F140" s="1118"/>
      <c r="G140" s="1118"/>
      <c r="H140" s="1118"/>
      <c r="I140" s="1118"/>
    </row>
    <row r="141" spans="1:9" ht="18" x14ac:dyDescent="0.25">
      <c r="A141" s="1120" t="s">
        <v>1192</v>
      </c>
      <c r="B141" s="1120"/>
      <c r="C141" s="1120"/>
      <c r="D141" s="1120"/>
      <c r="E141" s="1120"/>
      <c r="F141" s="1120"/>
      <c r="G141" s="1120"/>
      <c r="H141" s="1120"/>
      <c r="I141" s="1120"/>
    </row>
    <row r="142" spans="1:9" s="754" customFormat="1" ht="39.75" customHeight="1" x14ac:dyDescent="0.25">
      <c r="A142" s="1117" t="s">
        <v>1193</v>
      </c>
      <c r="B142" s="1120"/>
      <c r="C142" s="1120"/>
      <c r="D142" s="1120"/>
      <c r="E142" s="1120"/>
      <c r="F142" s="1120"/>
      <c r="G142" s="1120"/>
      <c r="H142" s="1120"/>
      <c r="I142" s="1120"/>
    </row>
    <row r="143" spans="1:9" s="754" customFormat="1" ht="39.75" customHeight="1" x14ac:dyDescent="0.25">
      <c r="A143" s="1117" t="s">
        <v>1194</v>
      </c>
      <c r="B143" s="1120"/>
      <c r="C143" s="1120"/>
      <c r="D143" s="1120"/>
      <c r="E143" s="1120"/>
      <c r="F143" s="1120"/>
      <c r="G143" s="1120"/>
      <c r="H143" s="1120"/>
      <c r="I143" s="1120"/>
    </row>
    <row r="144" spans="1:9" s="754" customFormat="1" ht="39.75" customHeight="1" x14ac:dyDescent="0.25">
      <c r="A144" s="1117" t="s">
        <v>1195</v>
      </c>
      <c r="B144" s="1120"/>
      <c r="C144" s="1120"/>
      <c r="D144" s="1120"/>
      <c r="E144" s="1120"/>
      <c r="F144" s="1120"/>
      <c r="G144" s="1120"/>
      <c r="H144" s="1120"/>
      <c r="I144" s="1120"/>
    </row>
    <row r="145" spans="1:9" s="754" customFormat="1" ht="39.75" customHeight="1" x14ac:dyDescent="0.25">
      <c r="A145" s="1117" t="s">
        <v>1196</v>
      </c>
      <c r="B145" s="1120"/>
      <c r="C145" s="1120"/>
      <c r="D145" s="1120"/>
      <c r="E145" s="1120"/>
      <c r="F145" s="1120"/>
      <c r="G145" s="1120"/>
      <c r="H145" s="1120"/>
      <c r="I145" s="1120"/>
    </row>
    <row r="146" spans="1:9" s="754" customFormat="1" ht="18" x14ac:dyDescent="0.25">
      <c r="A146" s="1120" t="s">
        <v>1197</v>
      </c>
      <c r="B146" s="1120"/>
      <c r="C146" s="1120"/>
      <c r="D146" s="1120"/>
      <c r="E146" s="1120"/>
      <c r="F146" s="1120"/>
      <c r="G146" s="1120"/>
      <c r="H146" s="1120"/>
      <c r="I146" s="1120"/>
    </row>
    <row r="147" spans="1:9" ht="18" x14ac:dyDescent="0.25">
      <c r="A147" s="1120" t="s">
        <v>738</v>
      </c>
      <c r="B147" s="1120"/>
      <c r="C147" s="1120"/>
      <c r="D147" s="1120"/>
      <c r="E147" s="1120"/>
      <c r="F147" s="1120"/>
      <c r="G147" s="1120"/>
      <c r="H147" s="1120"/>
      <c r="I147" s="1120"/>
    </row>
    <row r="148" spans="1:9" s="754" customFormat="1" ht="18" x14ac:dyDescent="0.25">
      <c r="A148" s="1120" t="s">
        <v>1198</v>
      </c>
      <c r="B148" s="1120"/>
      <c r="C148" s="1120"/>
      <c r="D148" s="1120"/>
      <c r="E148" s="1120"/>
      <c r="F148" s="1120"/>
      <c r="G148" s="1120"/>
      <c r="H148" s="1120"/>
      <c r="I148" s="1120"/>
    </row>
    <row r="149" spans="1:9" s="301" customFormat="1" ht="19.5" x14ac:dyDescent="0.25">
      <c r="A149" s="942"/>
    </row>
  </sheetData>
  <mergeCells count="148">
    <mergeCell ref="A148:I148"/>
    <mergeCell ref="A136:I136"/>
    <mergeCell ref="A141:I141"/>
    <mergeCell ref="A142:I142"/>
    <mergeCell ref="A143:I143"/>
    <mergeCell ref="A146:I146"/>
    <mergeCell ref="A147:I147"/>
    <mergeCell ref="A137:I137"/>
    <mergeCell ref="A138:I138"/>
    <mergeCell ref="A139:I139"/>
    <mergeCell ref="A140:I140"/>
    <mergeCell ref="A144:I144"/>
    <mergeCell ref="A145:I145"/>
    <mergeCell ref="A130:I130"/>
    <mergeCell ref="A131:I131"/>
    <mergeCell ref="A132:I132"/>
    <mergeCell ref="A133:I133"/>
    <mergeCell ref="A134:I134"/>
    <mergeCell ref="A135:I135"/>
    <mergeCell ref="A125:I125"/>
    <mergeCell ref="A126:I126"/>
    <mergeCell ref="A127:I127"/>
    <mergeCell ref="A128:I128"/>
    <mergeCell ref="A129:I129"/>
    <mergeCell ref="A119:I119"/>
    <mergeCell ref="A120:I120"/>
    <mergeCell ref="A121:I121"/>
    <mergeCell ref="A122:I122"/>
    <mergeCell ref="A123:I123"/>
    <mergeCell ref="A124:I124"/>
    <mergeCell ref="A114:I114"/>
    <mergeCell ref="A115:I115"/>
    <mergeCell ref="A116:I116"/>
    <mergeCell ref="A117:I117"/>
    <mergeCell ref="A118:I118"/>
    <mergeCell ref="A109:I109"/>
    <mergeCell ref="A110:I110"/>
    <mergeCell ref="A111:I111"/>
    <mergeCell ref="A112:I112"/>
    <mergeCell ref="A113:I113"/>
    <mergeCell ref="A103:I103"/>
    <mergeCell ref="A104:I104"/>
    <mergeCell ref="A105:I105"/>
    <mergeCell ref="A106:I106"/>
    <mergeCell ref="A107:I107"/>
    <mergeCell ref="A108:I108"/>
    <mergeCell ref="A97:I97"/>
    <mergeCell ref="A98:I98"/>
    <mergeCell ref="A99:I99"/>
    <mergeCell ref="A100:I100"/>
    <mergeCell ref="A101:I101"/>
    <mergeCell ref="A102:I102"/>
    <mergeCell ref="A92:I92"/>
    <mergeCell ref="A93:I93"/>
    <mergeCell ref="A94:I94"/>
    <mergeCell ref="A95:I95"/>
    <mergeCell ref="A96:I96"/>
    <mergeCell ref="A86:I86"/>
    <mergeCell ref="A87:I87"/>
    <mergeCell ref="A88:I88"/>
    <mergeCell ref="A89:I89"/>
    <mergeCell ref="A90:I90"/>
    <mergeCell ref="A91:I91"/>
    <mergeCell ref="A80:I80"/>
    <mergeCell ref="A81:I81"/>
    <mergeCell ref="A82:I82"/>
    <mergeCell ref="A83:I83"/>
    <mergeCell ref="A84:I84"/>
    <mergeCell ref="A85:I85"/>
    <mergeCell ref="A75:I75"/>
    <mergeCell ref="A76:I76"/>
    <mergeCell ref="A77:I77"/>
    <mergeCell ref="A78:I78"/>
    <mergeCell ref="A79:I79"/>
    <mergeCell ref="A69:I69"/>
    <mergeCell ref="A70:I70"/>
    <mergeCell ref="A71:I71"/>
    <mergeCell ref="A72:I72"/>
    <mergeCell ref="A73:I73"/>
    <mergeCell ref="A74:I74"/>
    <mergeCell ref="A63:I63"/>
    <mergeCell ref="A64:I64"/>
    <mergeCell ref="A65:I65"/>
    <mergeCell ref="A66:I66"/>
    <mergeCell ref="A67:I67"/>
    <mergeCell ref="A68:I68"/>
    <mergeCell ref="A58:I58"/>
    <mergeCell ref="A59:I59"/>
    <mergeCell ref="A60:I60"/>
    <mergeCell ref="A61:I61"/>
    <mergeCell ref="A62:I62"/>
    <mergeCell ref="A52:I52"/>
    <mergeCell ref="A53:I53"/>
    <mergeCell ref="A54:I54"/>
    <mergeCell ref="A55:I55"/>
    <mergeCell ref="A56:I56"/>
    <mergeCell ref="A57:I57"/>
    <mergeCell ref="A47:I47"/>
    <mergeCell ref="A48:I48"/>
    <mergeCell ref="A49:I49"/>
    <mergeCell ref="A50:I50"/>
    <mergeCell ref="A51:I51"/>
    <mergeCell ref="A43:I43"/>
    <mergeCell ref="A44:I44"/>
    <mergeCell ref="A45:I45"/>
    <mergeCell ref="A46:I46"/>
    <mergeCell ref="A36:I36"/>
    <mergeCell ref="A37:I37"/>
    <mergeCell ref="A38:I38"/>
    <mergeCell ref="A39:I39"/>
    <mergeCell ref="A40:I40"/>
    <mergeCell ref="A32:I32"/>
    <mergeCell ref="A33:I33"/>
    <mergeCell ref="A34:I34"/>
    <mergeCell ref="A35:I35"/>
    <mergeCell ref="A42:I42"/>
    <mergeCell ref="A4:I4"/>
    <mergeCell ref="A5:I5"/>
    <mergeCell ref="A7:I7"/>
    <mergeCell ref="A8:I8"/>
    <mergeCell ref="A9:I9"/>
    <mergeCell ref="A12:I12"/>
    <mergeCell ref="A13:I13"/>
    <mergeCell ref="A14:I14"/>
    <mergeCell ref="A15:I15"/>
    <mergeCell ref="A41:I41"/>
    <mergeCell ref="A1:I1"/>
    <mergeCell ref="A2:H2"/>
    <mergeCell ref="A3:I3"/>
    <mergeCell ref="A16:I16"/>
    <mergeCell ref="A17:I17"/>
    <mergeCell ref="A18:I18"/>
    <mergeCell ref="A20:I20"/>
    <mergeCell ref="A31:I31"/>
    <mergeCell ref="A25:I25"/>
    <mergeCell ref="A24:I24"/>
    <mergeCell ref="A26:I26"/>
    <mergeCell ref="A27:I27"/>
    <mergeCell ref="A28:I28"/>
    <mergeCell ref="A19:I19"/>
    <mergeCell ref="A22:I22"/>
    <mergeCell ref="A21:I21"/>
    <mergeCell ref="A23:I23"/>
    <mergeCell ref="A6:I6"/>
    <mergeCell ref="A10:I10"/>
    <mergeCell ref="A11:I11"/>
    <mergeCell ref="A29:I29"/>
    <mergeCell ref="A30:I30"/>
  </mergeCells>
  <pageMargins left="0.78740157480314965" right="0.59055118110236227" top="0.59055118110236227" bottom="0.59055118110236227" header="0.31496062992125984" footer="0.31496062992125984"/>
  <pageSetup paperSize="9" scale="98" firstPageNumber="5" orientation="portrait" useFirstPageNumber="1" r:id="rId1"/>
  <headerFooter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76037-9414-47B3-AC77-4A9D3870EB98}">
  <sheetPr>
    <tabColor theme="0"/>
  </sheetPr>
  <dimension ref="A1:AJ744"/>
  <sheetViews>
    <sheetView view="pageBreakPreview" topLeftCell="A239" zoomScale="85" zoomScaleNormal="100" zoomScaleSheetLayoutView="85" workbookViewId="0">
      <selection activeCell="AM41" sqref="AM41"/>
    </sheetView>
  </sheetViews>
  <sheetFormatPr defaultRowHeight="15" x14ac:dyDescent="0.25"/>
  <cols>
    <col min="1" max="1" width="6" style="51" customWidth="1"/>
    <col min="2" max="2" width="14" style="51" customWidth="1"/>
    <col min="3" max="3" width="5.85546875" style="51" customWidth="1"/>
    <col min="4" max="4" width="10" style="51" customWidth="1"/>
    <col min="5" max="5" width="5.140625" style="51" customWidth="1"/>
    <col min="6" max="6" width="4.5703125" style="51" customWidth="1"/>
    <col min="7" max="7" width="5.140625" style="51" customWidth="1"/>
    <col min="8" max="8" width="5" style="51" customWidth="1"/>
    <col min="9" max="10" width="4.85546875" style="51" customWidth="1"/>
    <col min="11" max="11" width="5.7109375" style="51" customWidth="1"/>
    <col min="12" max="12" width="4.42578125" style="51" customWidth="1"/>
    <col min="13" max="13" width="4.7109375" style="51" customWidth="1"/>
    <col min="14" max="14" width="5" style="51" customWidth="1"/>
    <col min="15" max="15" width="4" style="51" customWidth="1"/>
    <col min="16" max="16" width="4.42578125" style="51" customWidth="1"/>
    <col min="17" max="17" width="3.7109375" style="51" customWidth="1"/>
    <col min="18" max="18" width="4" style="51" customWidth="1"/>
    <col min="19" max="19" width="5.28515625" style="51" customWidth="1"/>
    <col min="20" max="28" width="0" style="51" hidden="1" customWidth="1"/>
    <col min="29" max="29" width="13.28515625" style="51" customWidth="1"/>
    <col min="30" max="30" width="5.5703125" style="51" customWidth="1"/>
    <col min="31" max="32" width="6.7109375" style="51" customWidth="1"/>
    <col min="33" max="34" width="9.140625" style="51"/>
    <col min="35" max="16384" width="9.140625" style="47"/>
  </cols>
  <sheetData>
    <row r="1" spans="1:31" customFormat="1" ht="18.75" x14ac:dyDescent="0.3">
      <c r="A1" s="1103" t="s">
        <v>1173</v>
      </c>
      <c r="B1" s="1103"/>
      <c r="C1" s="1103"/>
      <c r="D1" s="1103"/>
      <c r="E1" s="1103"/>
      <c r="F1" s="1103"/>
      <c r="G1" s="1103"/>
      <c r="H1" s="1103"/>
      <c r="I1" s="1103"/>
      <c r="J1" s="1103"/>
      <c r="K1" s="1103"/>
      <c r="L1" s="1103"/>
      <c r="M1" s="1103"/>
      <c r="N1" s="1103"/>
      <c r="O1" s="1103"/>
      <c r="P1" s="1103"/>
      <c r="Q1" s="1103"/>
      <c r="R1" s="1103"/>
      <c r="S1" s="1103"/>
      <c r="T1" s="1103"/>
      <c r="U1" s="1103"/>
      <c r="V1" s="1103"/>
      <c r="W1" s="1103"/>
      <c r="X1" s="1103"/>
      <c r="Y1" s="1103"/>
      <c r="Z1" s="1103"/>
      <c r="AA1" s="1103"/>
      <c r="AB1" s="1103"/>
      <c r="AC1" s="1103"/>
      <c r="AD1" s="1103"/>
      <c r="AE1" s="1103"/>
    </row>
    <row r="2" spans="1:31" customFormat="1" ht="9.75" customHeight="1" x14ac:dyDescent="0.25"/>
    <row r="3" spans="1:31" customFormat="1" ht="18" customHeight="1" x14ac:dyDescent="0.25">
      <c r="A3" s="1101" t="s">
        <v>884</v>
      </c>
      <c r="B3" s="1126"/>
      <c r="C3" s="1126"/>
      <c r="D3" s="1126"/>
      <c r="E3" s="1126"/>
      <c r="F3" s="1126"/>
      <c r="G3" s="1126"/>
      <c r="H3" s="1126"/>
      <c r="I3" s="1126"/>
      <c r="J3" s="1126"/>
      <c r="K3" s="1126"/>
      <c r="L3" s="1126"/>
      <c r="M3" s="1126"/>
      <c r="N3" s="1126"/>
      <c r="O3" s="1126"/>
      <c r="P3" s="1126"/>
      <c r="Q3" s="1126"/>
      <c r="R3" s="1126"/>
      <c r="S3" s="1126"/>
      <c r="T3" s="1126"/>
      <c r="U3" s="1126"/>
      <c r="V3" s="1126"/>
      <c r="W3" s="1126"/>
      <c r="X3" s="1126"/>
      <c r="Y3" s="1126"/>
      <c r="Z3" s="1126"/>
      <c r="AA3" s="1126"/>
      <c r="AB3" s="1126"/>
      <c r="AC3" s="1126"/>
      <c r="AD3" s="1126"/>
      <c r="AE3" s="1126"/>
    </row>
    <row r="4" spans="1:31" customFormat="1" ht="39" customHeight="1" x14ac:dyDescent="0.25">
      <c r="A4" s="1101" t="s">
        <v>885</v>
      </c>
      <c r="B4" s="1126"/>
      <c r="C4" s="1126"/>
      <c r="D4" s="1126"/>
      <c r="E4" s="1126"/>
      <c r="F4" s="1126"/>
      <c r="G4" s="1126"/>
      <c r="H4" s="1126"/>
      <c r="I4" s="1126"/>
      <c r="J4" s="1126"/>
      <c r="K4" s="1126"/>
      <c r="L4" s="1126"/>
      <c r="M4" s="1126"/>
      <c r="N4" s="1126"/>
      <c r="O4" s="1126"/>
      <c r="P4" s="1126"/>
      <c r="Q4" s="1126"/>
      <c r="R4" s="1126"/>
      <c r="S4" s="1126"/>
      <c r="T4" s="1126"/>
      <c r="U4" s="1126"/>
      <c r="V4" s="1126"/>
      <c r="W4" s="1126"/>
      <c r="X4" s="1126"/>
      <c r="Y4" s="1126"/>
      <c r="Z4" s="1126"/>
      <c r="AA4" s="1126"/>
      <c r="AB4" s="1126"/>
      <c r="AC4" s="1126"/>
      <c r="AD4" s="1126"/>
      <c r="AE4" s="1126"/>
    </row>
    <row r="5" spans="1:31" customFormat="1" ht="3" customHeight="1" x14ac:dyDescent="0.25"/>
    <row r="6" spans="1:31" customFormat="1" ht="38.25" customHeight="1" x14ac:dyDescent="0.25">
      <c r="A6" s="1101" t="s">
        <v>886</v>
      </c>
      <c r="B6" s="1101"/>
      <c r="C6" s="1101"/>
      <c r="D6" s="1101"/>
      <c r="E6" s="1101"/>
      <c r="F6" s="1101"/>
      <c r="G6" s="1101"/>
      <c r="H6" s="1101"/>
      <c r="I6" s="1101"/>
      <c r="J6" s="1101"/>
      <c r="K6" s="1101"/>
      <c r="L6" s="1101"/>
      <c r="M6" s="1101"/>
      <c r="N6" s="1101"/>
      <c r="O6" s="1101"/>
      <c r="P6" s="1101"/>
      <c r="Q6" s="1101"/>
      <c r="R6" s="1101"/>
      <c r="S6" s="1101"/>
      <c r="T6" s="1101"/>
      <c r="U6" s="1101"/>
      <c r="V6" s="1101"/>
      <c r="W6" s="1101"/>
      <c r="X6" s="1101"/>
      <c r="Y6" s="1101"/>
      <c r="Z6" s="1101"/>
      <c r="AA6" s="1101"/>
      <c r="AB6" s="1101"/>
      <c r="AC6" s="1101"/>
      <c r="AD6" s="1101"/>
      <c r="AE6" s="1101"/>
    </row>
    <row r="7" spans="1:31" customFormat="1" ht="18.75" x14ac:dyDescent="0.25">
      <c r="A7" s="1526" t="s">
        <v>887</v>
      </c>
      <c r="B7" s="1526"/>
      <c r="C7" s="1526"/>
      <c r="D7" s="1526"/>
      <c r="E7" s="1526"/>
      <c r="F7" s="1526"/>
      <c r="G7" s="1526"/>
      <c r="H7" s="1526"/>
      <c r="I7" s="1526"/>
      <c r="J7" s="1526"/>
      <c r="K7" s="1526"/>
      <c r="L7" s="1526"/>
      <c r="M7" s="1526"/>
      <c r="N7" s="1526"/>
      <c r="O7" s="1526"/>
      <c r="P7" s="1526"/>
      <c r="Q7" s="1526"/>
      <c r="R7" s="1526"/>
      <c r="S7" s="1526"/>
      <c r="T7" s="1526"/>
      <c r="U7" s="1526"/>
      <c r="V7" s="1526"/>
      <c r="W7" s="1526"/>
      <c r="X7" s="1526"/>
      <c r="Y7" s="1526"/>
      <c r="Z7" s="1526"/>
      <c r="AA7" s="1526"/>
      <c r="AB7" s="1526"/>
      <c r="AC7" s="1526"/>
      <c r="AD7" s="1526"/>
      <c r="AE7" s="1526"/>
    </row>
    <row r="8" spans="1:31" customFormat="1" ht="66" customHeight="1" x14ac:dyDescent="0.25">
      <c r="A8" s="1667" t="s">
        <v>888</v>
      </c>
      <c r="B8" s="1668"/>
      <c r="C8" s="1668"/>
      <c r="D8" s="1668"/>
      <c r="E8" s="1668"/>
      <c r="F8" s="1668"/>
      <c r="G8" s="1668"/>
      <c r="H8" s="1668"/>
      <c r="I8" s="1668"/>
      <c r="J8" s="1668"/>
      <c r="K8" s="1668"/>
      <c r="L8" s="1668"/>
      <c r="M8" s="1668"/>
      <c r="N8" s="1668"/>
      <c r="O8" s="1668"/>
      <c r="P8" s="1668"/>
      <c r="Q8" s="1668"/>
      <c r="R8" s="1668"/>
      <c r="S8" s="1668"/>
      <c r="T8" s="1668"/>
      <c r="U8" s="1668"/>
      <c r="V8" s="1668"/>
      <c r="W8" s="1668"/>
      <c r="X8" s="1668"/>
      <c r="Y8" s="1668"/>
      <c r="Z8" s="1668"/>
      <c r="AA8" s="1668"/>
      <c r="AB8" s="1668"/>
      <c r="AC8" s="1668"/>
      <c r="AD8" s="1668"/>
      <c r="AE8" s="1668"/>
    </row>
    <row r="9" spans="1:31" customFormat="1" ht="9.75" customHeight="1" x14ac:dyDescent="0.25"/>
    <row r="10" spans="1:31" customFormat="1" ht="15.75" x14ac:dyDescent="0.25">
      <c r="A10" s="1126" t="s">
        <v>889</v>
      </c>
      <c r="B10" s="1126"/>
      <c r="C10" s="1126"/>
      <c r="D10" s="1126"/>
      <c r="E10" s="1126"/>
      <c r="F10" s="1126"/>
      <c r="G10" s="1126"/>
      <c r="H10" s="1126"/>
      <c r="I10" s="1126"/>
      <c r="J10" s="1126"/>
      <c r="K10" s="1126"/>
      <c r="L10" s="1126"/>
      <c r="M10" s="1126"/>
      <c r="N10" s="1126"/>
      <c r="O10" s="1126"/>
      <c r="P10" s="1126"/>
      <c r="Q10" s="1126"/>
      <c r="R10" s="1126"/>
      <c r="S10" s="1126"/>
      <c r="T10" s="1126"/>
      <c r="U10" s="1126"/>
      <c r="V10" s="1126"/>
      <c r="W10" s="1126"/>
      <c r="X10" s="1126"/>
      <c r="Y10" s="1126"/>
      <c r="Z10" s="1126"/>
      <c r="AA10" s="1126"/>
      <c r="AB10" s="1126"/>
      <c r="AC10" s="1126"/>
      <c r="AD10" s="1126"/>
      <c r="AE10" s="1126"/>
    </row>
    <row r="11" spans="1:31" customFormat="1" ht="17.25" customHeight="1" x14ac:dyDescent="0.3">
      <c r="A11" s="1103" t="s">
        <v>890</v>
      </c>
      <c r="B11" s="1103"/>
      <c r="C11" s="1103"/>
      <c r="D11" s="1103"/>
      <c r="E11" s="1103"/>
      <c r="F11" s="1103"/>
      <c r="G11" s="1103"/>
      <c r="H11" s="1103"/>
      <c r="I11" s="1103"/>
      <c r="J11" s="1103"/>
      <c r="K11" s="1103"/>
      <c r="L11" s="1103"/>
      <c r="M11" s="1103"/>
      <c r="N11" s="1103"/>
      <c r="O11" s="1103"/>
      <c r="P11" s="1103"/>
      <c r="Q11" s="1103"/>
      <c r="R11" s="1103"/>
      <c r="S11" s="1103"/>
      <c r="T11" s="1103"/>
      <c r="U11" s="1103"/>
      <c r="V11" s="1103"/>
      <c r="W11" s="1103"/>
      <c r="X11" s="1103"/>
      <c r="Y11" s="1103"/>
      <c r="Z11" s="1103"/>
      <c r="AA11" s="1103"/>
      <c r="AB11" s="1103"/>
      <c r="AC11" s="1103"/>
      <c r="AD11" s="1103"/>
      <c r="AE11" s="1103"/>
    </row>
    <row r="12" spans="1:31" customFormat="1" ht="27" customHeight="1" x14ac:dyDescent="0.25">
      <c r="A12" s="1667" t="s">
        <v>891</v>
      </c>
      <c r="B12" s="1668"/>
      <c r="C12" s="1668"/>
      <c r="D12" s="1668"/>
      <c r="E12" s="1668"/>
      <c r="F12" s="1668"/>
      <c r="G12" s="1668"/>
      <c r="H12" s="1668"/>
      <c r="I12" s="1668"/>
      <c r="J12" s="1668"/>
      <c r="K12" s="1668"/>
      <c r="L12" s="1668"/>
      <c r="M12" s="1668"/>
      <c r="N12" s="1668"/>
      <c r="O12" s="1668"/>
      <c r="P12" s="1668"/>
      <c r="Q12" s="1668"/>
      <c r="R12" s="1668"/>
      <c r="S12" s="1668"/>
      <c r="T12" s="1668"/>
      <c r="U12" s="1668"/>
      <c r="V12" s="1668"/>
      <c r="W12" s="1668"/>
      <c r="X12" s="1668"/>
      <c r="Y12" s="1668"/>
      <c r="Z12" s="1668"/>
      <c r="AA12" s="1668"/>
      <c r="AB12" s="1668"/>
      <c r="AC12" s="1668"/>
      <c r="AD12" s="1668"/>
      <c r="AE12" s="1668"/>
    </row>
    <row r="13" spans="1:31" customFormat="1" ht="5.25" customHeight="1" x14ac:dyDescent="0.25"/>
    <row r="14" spans="1:31" customFormat="1" ht="33.75" customHeight="1" x14ac:dyDescent="0.25">
      <c r="A14" s="1101" t="s">
        <v>892</v>
      </c>
      <c r="B14" s="1101"/>
      <c r="C14" s="1101"/>
      <c r="D14" s="1101"/>
      <c r="E14" s="1101"/>
      <c r="F14" s="1101"/>
      <c r="G14" s="1101"/>
      <c r="H14" s="1101"/>
      <c r="I14" s="1101"/>
      <c r="J14" s="1101"/>
      <c r="K14" s="1101"/>
      <c r="L14" s="1101"/>
      <c r="M14" s="1101"/>
      <c r="N14" s="1101"/>
      <c r="O14" s="1101"/>
      <c r="P14" s="1101"/>
      <c r="Q14" s="1101"/>
      <c r="R14" s="1101"/>
      <c r="S14" s="1101"/>
      <c r="T14" s="1101"/>
      <c r="U14" s="1101"/>
      <c r="V14" s="1101"/>
      <c r="W14" s="1101"/>
      <c r="X14" s="1101"/>
      <c r="Y14" s="1101"/>
      <c r="Z14" s="1101"/>
      <c r="AA14" s="1101"/>
      <c r="AB14" s="1101"/>
      <c r="AC14" s="1101"/>
      <c r="AD14" s="1101"/>
      <c r="AE14" s="1101"/>
    </row>
    <row r="15" spans="1:31" customFormat="1" ht="16.5" customHeight="1" x14ac:dyDescent="0.35">
      <c r="A15" s="1103" t="s">
        <v>893</v>
      </c>
      <c r="B15" s="1103"/>
      <c r="C15" s="1103"/>
      <c r="D15" s="1103"/>
      <c r="E15" s="1103"/>
      <c r="F15" s="1103"/>
      <c r="G15" s="1103"/>
      <c r="H15" s="1103"/>
      <c r="I15" s="1103"/>
      <c r="J15" s="1103"/>
      <c r="K15" s="1103"/>
      <c r="L15" s="1103"/>
      <c r="M15" s="1103"/>
      <c r="N15" s="1103"/>
      <c r="O15" s="1103"/>
      <c r="P15" s="1103"/>
      <c r="Q15" s="1103"/>
      <c r="R15" s="1103"/>
      <c r="S15" s="1103"/>
      <c r="T15" s="1103"/>
      <c r="U15" s="1103"/>
      <c r="V15" s="1103"/>
      <c r="W15" s="1103"/>
      <c r="X15" s="1103"/>
      <c r="Y15" s="1103"/>
      <c r="Z15" s="1103"/>
      <c r="AA15" s="1103"/>
      <c r="AB15" s="1103"/>
      <c r="AC15" s="1103"/>
      <c r="AD15" s="1103"/>
      <c r="AE15" s="1103"/>
    </row>
    <row r="16" spans="1:31" customFormat="1" ht="42" customHeight="1" x14ac:dyDescent="0.25">
      <c r="A16" s="1667" t="s">
        <v>894</v>
      </c>
      <c r="B16" s="1668"/>
      <c r="C16" s="1668"/>
      <c r="D16" s="1668"/>
      <c r="E16" s="1668"/>
      <c r="F16" s="1668"/>
      <c r="G16" s="1668"/>
      <c r="H16" s="1668"/>
      <c r="I16" s="1668"/>
      <c r="J16" s="1668"/>
      <c r="K16" s="1668"/>
      <c r="L16" s="1668"/>
      <c r="M16" s="1668"/>
      <c r="N16" s="1668"/>
      <c r="O16" s="1668"/>
      <c r="P16" s="1668"/>
      <c r="Q16" s="1668"/>
      <c r="R16" s="1668"/>
      <c r="S16" s="1668"/>
      <c r="T16" s="1668"/>
      <c r="U16" s="1668"/>
      <c r="V16" s="1668"/>
      <c r="W16" s="1668"/>
      <c r="X16" s="1668"/>
      <c r="Y16" s="1668"/>
      <c r="Z16" s="1668"/>
      <c r="AA16" s="1668"/>
      <c r="AB16" s="1668"/>
      <c r="AC16" s="1668"/>
      <c r="AD16" s="1668"/>
      <c r="AE16" s="1668"/>
    </row>
    <row r="17" spans="1:34" customFormat="1" ht="8.25" customHeight="1" x14ac:dyDescent="0.25"/>
    <row r="18" spans="1:34" customFormat="1" ht="15.75" x14ac:dyDescent="0.25">
      <c r="A18" s="1128" t="s">
        <v>895</v>
      </c>
      <c r="B18" s="1128"/>
      <c r="C18" s="1128"/>
      <c r="D18" s="1128"/>
      <c r="E18" s="1128"/>
      <c r="F18" s="1128"/>
      <c r="G18" s="1128"/>
      <c r="H18" s="1128"/>
      <c r="I18" s="1128"/>
      <c r="J18" s="1128"/>
      <c r="K18" s="1128"/>
      <c r="L18" s="1128"/>
      <c r="M18" s="1128"/>
      <c r="N18" s="1128"/>
      <c r="O18" s="1128"/>
      <c r="P18" s="1128"/>
      <c r="Q18" s="1128"/>
      <c r="R18" s="1128"/>
      <c r="S18" s="1128"/>
      <c r="T18" s="1128"/>
      <c r="U18" s="1128"/>
      <c r="V18" s="1128"/>
      <c r="W18" s="1128"/>
      <c r="X18" s="1128"/>
      <c r="Y18" s="1128"/>
      <c r="Z18" s="1128"/>
      <c r="AA18" s="1128"/>
      <c r="AB18" s="1128"/>
      <c r="AC18" s="1128"/>
      <c r="AD18" s="1128"/>
      <c r="AE18" s="1128"/>
    </row>
    <row r="19" spans="1:34" customFormat="1" ht="22.5" x14ac:dyDescent="0.35">
      <c r="A19" s="1103" t="s">
        <v>896</v>
      </c>
      <c r="B19" s="1103"/>
      <c r="C19" s="1103"/>
      <c r="D19" s="1103"/>
      <c r="E19" s="1103"/>
      <c r="F19" s="1103"/>
      <c r="G19" s="1103"/>
      <c r="H19" s="1103"/>
      <c r="I19" s="1103"/>
      <c r="J19" s="1103"/>
      <c r="K19" s="1103"/>
      <c r="L19" s="1103"/>
      <c r="M19" s="1103"/>
      <c r="N19" s="1103"/>
      <c r="O19" s="1103"/>
      <c r="P19" s="1103"/>
      <c r="Q19" s="1103"/>
      <c r="R19" s="1103"/>
      <c r="S19" s="1103"/>
      <c r="T19" s="1103"/>
      <c r="U19" s="1103"/>
      <c r="V19" s="1103"/>
      <c r="W19" s="1103"/>
      <c r="X19" s="1103"/>
      <c r="Y19" s="1103"/>
      <c r="Z19" s="1103"/>
      <c r="AA19" s="1103"/>
      <c r="AB19" s="1103"/>
      <c r="AC19" s="1103"/>
      <c r="AD19" s="1103"/>
      <c r="AE19" s="1103"/>
    </row>
    <row r="20" spans="1:34" customFormat="1" ht="15.75" x14ac:dyDescent="0.25">
      <c r="A20" s="1128" t="s">
        <v>897</v>
      </c>
      <c r="B20" s="1128"/>
      <c r="C20" s="1128"/>
      <c r="D20" s="1128"/>
      <c r="E20" s="1128"/>
      <c r="F20" s="1128"/>
      <c r="G20" s="1128"/>
      <c r="H20" s="1128"/>
      <c r="I20" s="1128"/>
      <c r="J20" s="1128"/>
      <c r="K20" s="1128"/>
      <c r="L20" s="1128"/>
      <c r="M20" s="1128"/>
      <c r="N20" s="1128"/>
      <c r="O20" s="1128"/>
      <c r="P20" s="1128"/>
      <c r="Q20" s="1128"/>
      <c r="R20" s="1128"/>
      <c r="S20" s="1128"/>
      <c r="T20" s="1128"/>
      <c r="U20" s="1128"/>
      <c r="V20" s="1128"/>
      <c r="W20" s="1128"/>
      <c r="X20" s="1128"/>
      <c r="Y20" s="1128"/>
      <c r="Z20" s="1128"/>
      <c r="AA20" s="1128"/>
      <c r="AB20" s="1128"/>
      <c r="AC20" s="1128"/>
      <c r="AD20" s="1128"/>
      <c r="AE20" s="1128"/>
    </row>
    <row r="21" spans="1:34" customFormat="1" ht="20.25" x14ac:dyDescent="0.35">
      <c r="A21" s="1103" t="s">
        <v>898</v>
      </c>
      <c r="B21" s="1103"/>
      <c r="C21" s="1103"/>
      <c r="D21" s="1103"/>
      <c r="E21" s="1103"/>
      <c r="F21" s="1103"/>
      <c r="G21" s="1103"/>
      <c r="H21" s="1103"/>
      <c r="I21" s="1103"/>
      <c r="J21" s="1103"/>
      <c r="K21" s="1103"/>
      <c r="L21" s="1103"/>
      <c r="M21" s="1103"/>
      <c r="N21" s="1103"/>
      <c r="O21" s="1103"/>
      <c r="P21" s="1103"/>
      <c r="Q21" s="1103"/>
      <c r="R21" s="1103"/>
      <c r="S21" s="1103"/>
      <c r="T21" s="1103"/>
      <c r="U21" s="1103"/>
      <c r="V21" s="1103"/>
      <c r="W21" s="1103"/>
      <c r="X21" s="1103"/>
      <c r="Y21" s="1103"/>
      <c r="Z21" s="1103"/>
      <c r="AA21" s="1103"/>
      <c r="AB21" s="1103"/>
      <c r="AC21" s="1103"/>
      <c r="AD21" s="1103"/>
      <c r="AE21" s="1103"/>
    </row>
    <row r="22" spans="1:34" customFormat="1" x14ac:dyDescent="0.25">
      <c r="A22" s="1668" t="s">
        <v>899</v>
      </c>
      <c r="B22" s="1668"/>
      <c r="C22" s="1668"/>
      <c r="D22" s="1668"/>
      <c r="E22" s="1668"/>
      <c r="F22" s="1668"/>
      <c r="G22" s="1668"/>
      <c r="H22" s="1668"/>
      <c r="I22" s="1668"/>
      <c r="J22" s="1668"/>
      <c r="K22" s="1668"/>
      <c r="L22" s="1668"/>
      <c r="M22" s="1668"/>
      <c r="N22" s="1668"/>
      <c r="O22" s="1668"/>
      <c r="P22" s="1668"/>
      <c r="Q22" s="1668"/>
      <c r="R22" s="1668"/>
      <c r="S22" s="1668"/>
      <c r="T22" s="1668"/>
      <c r="U22" s="1668"/>
      <c r="V22" s="1668"/>
      <c r="W22" s="1668"/>
      <c r="X22" s="1668"/>
      <c r="Y22" s="1668"/>
      <c r="Z22" s="1668"/>
      <c r="AA22" s="1668"/>
      <c r="AB22" s="1668"/>
      <c r="AC22" s="1668"/>
      <c r="AD22" s="1668"/>
      <c r="AE22" s="1668"/>
    </row>
    <row r="23" spans="1:34" customFormat="1" ht="15.75" x14ac:dyDescent="0.25">
      <c r="A23" s="1126" t="s">
        <v>900</v>
      </c>
      <c r="B23" s="1126"/>
      <c r="C23" s="1126"/>
      <c r="D23" s="1126"/>
      <c r="E23" s="1126"/>
      <c r="F23" s="1126"/>
      <c r="G23" s="1126"/>
      <c r="H23" s="1126"/>
      <c r="I23" s="1126"/>
      <c r="J23" s="1126"/>
      <c r="K23" s="1126"/>
      <c r="L23" s="1126"/>
      <c r="M23" s="1126"/>
      <c r="N23" s="1126"/>
      <c r="O23" s="1126"/>
      <c r="P23" s="1126"/>
      <c r="Q23" s="1126"/>
      <c r="R23" s="1126"/>
      <c r="S23" s="1126"/>
      <c r="T23" s="1126"/>
      <c r="U23" s="1126"/>
      <c r="V23" s="1126"/>
      <c r="W23" s="1126"/>
      <c r="X23" s="1126"/>
      <c r="Y23" s="1126"/>
      <c r="Z23" s="1126"/>
      <c r="AA23" s="1126"/>
      <c r="AB23" s="1126"/>
      <c r="AC23" s="1126"/>
      <c r="AD23" s="1126"/>
      <c r="AE23" s="1126"/>
    </row>
    <row r="24" spans="1:34" customFormat="1" ht="7.5" customHeight="1" x14ac:dyDescent="0.2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</row>
    <row r="25" spans="1:34" s="54" customFormat="1" ht="21" customHeight="1" x14ac:dyDescent="0.25">
      <c r="A25" s="1117" t="s">
        <v>1224</v>
      </c>
      <c r="B25" s="1117"/>
      <c r="C25" s="1117"/>
      <c r="D25" s="1117"/>
      <c r="E25" s="1117"/>
      <c r="F25" s="1117"/>
      <c r="G25" s="1117"/>
      <c r="H25" s="1117"/>
      <c r="I25" s="1117"/>
      <c r="J25" s="1117"/>
      <c r="K25" s="1117"/>
      <c r="L25" s="1117"/>
      <c r="M25" s="1117"/>
      <c r="N25" s="1117"/>
      <c r="O25" s="1117"/>
      <c r="P25" s="1117"/>
      <c r="Q25" s="1117"/>
      <c r="R25" s="1117"/>
      <c r="S25" s="1117"/>
      <c r="T25" s="1117"/>
      <c r="U25" s="1117"/>
      <c r="V25" s="1117"/>
      <c r="W25" s="1117"/>
      <c r="X25" s="1117"/>
      <c r="Y25" s="1117"/>
      <c r="Z25" s="1117"/>
      <c r="AA25" s="1117"/>
      <c r="AB25" s="1117"/>
      <c r="AC25" s="1117"/>
      <c r="AD25" s="1117"/>
      <c r="AE25" s="1117"/>
      <c r="AF25" s="1117"/>
    </row>
    <row r="26" spans="1:34" s="54" customFormat="1" ht="7.5" customHeight="1" x14ac:dyDescent="0.25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</row>
    <row r="27" spans="1:34" s="83" customFormat="1" ht="15.75" x14ac:dyDescent="0.25">
      <c r="A27" s="1672" t="s">
        <v>1174</v>
      </c>
      <c r="B27" s="1672"/>
      <c r="C27" s="1672"/>
      <c r="D27" s="1672"/>
      <c r="E27" s="1672"/>
      <c r="F27" s="1672"/>
      <c r="G27" s="1672"/>
      <c r="H27" s="1672"/>
      <c r="I27" s="1672"/>
      <c r="J27" s="1672"/>
      <c r="K27" s="1672"/>
      <c r="L27" s="1672"/>
      <c r="M27" s="1672"/>
      <c r="N27" s="1672"/>
      <c r="O27" s="1672"/>
      <c r="P27" s="1672"/>
      <c r="Q27" s="1672"/>
      <c r="R27" s="1672"/>
      <c r="S27" s="1672"/>
      <c r="T27" s="1672"/>
      <c r="U27" s="1672"/>
      <c r="V27" s="1672"/>
      <c r="W27" s="1672"/>
      <c r="X27" s="1672"/>
      <c r="Y27" s="1672"/>
      <c r="Z27" s="1672"/>
      <c r="AA27" s="1672"/>
      <c r="AB27" s="1672"/>
      <c r="AC27" s="1672"/>
      <c r="AD27" s="1672"/>
      <c r="AE27" s="1672"/>
      <c r="AF27" s="1672"/>
    </row>
    <row r="28" spans="1:34" x14ac:dyDescent="0.25">
      <c r="A28" s="1669" t="s">
        <v>790</v>
      </c>
      <c r="B28" s="1669" t="s">
        <v>522</v>
      </c>
      <c r="C28" s="1478" t="s">
        <v>523</v>
      </c>
      <c r="D28" s="1478" t="s">
        <v>524</v>
      </c>
      <c r="E28" s="1654" t="s">
        <v>525</v>
      </c>
      <c r="F28" s="1654" t="s">
        <v>526</v>
      </c>
      <c r="G28" s="1474" t="s">
        <v>527</v>
      </c>
      <c r="H28" s="1478" t="s">
        <v>528</v>
      </c>
      <c r="I28" s="1474" t="s">
        <v>529</v>
      </c>
      <c r="J28" s="1478" t="s">
        <v>530</v>
      </c>
      <c r="K28" s="1474" t="s">
        <v>531</v>
      </c>
      <c r="L28" s="1474" t="s">
        <v>532</v>
      </c>
      <c r="M28" s="1474"/>
      <c r="N28" s="1478" t="s">
        <v>533</v>
      </c>
      <c r="O28" s="1658" t="s">
        <v>534</v>
      </c>
      <c r="P28" s="1661" t="s">
        <v>535</v>
      </c>
      <c r="Q28" s="1662"/>
      <c r="R28" s="1663"/>
      <c r="S28" s="1478" t="s">
        <v>536</v>
      </c>
      <c r="T28" s="1654" t="s">
        <v>537</v>
      </c>
      <c r="U28" s="1654"/>
      <c r="V28" s="1654"/>
      <c r="W28" s="1654" t="s">
        <v>538</v>
      </c>
      <c r="X28" s="1654"/>
      <c r="Y28" s="1654"/>
      <c r="Z28" s="1654" t="s">
        <v>539</v>
      </c>
      <c r="AA28" s="1654"/>
      <c r="AB28" s="1654"/>
      <c r="AC28" s="1655" t="s">
        <v>41</v>
      </c>
      <c r="AD28" s="1644" t="s">
        <v>4</v>
      </c>
      <c r="AE28" s="1647" t="s">
        <v>162</v>
      </c>
      <c r="AF28" s="1650" t="s">
        <v>163</v>
      </c>
      <c r="AG28" s="47"/>
      <c r="AH28" s="47"/>
    </row>
    <row r="29" spans="1:34" x14ac:dyDescent="0.25">
      <c r="A29" s="1670"/>
      <c r="B29" s="1670"/>
      <c r="C29" s="1634"/>
      <c r="D29" s="1634"/>
      <c r="E29" s="1654"/>
      <c r="F29" s="1654"/>
      <c r="G29" s="1474"/>
      <c r="H29" s="1634"/>
      <c r="I29" s="1474"/>
      <c r="J29" s="1634"/>
      <c r="K29" s="1474"/>
      <c r="L29" s="1474"/>
      <c r="M29" s="1474"/>
      <c r="N29" s="1634"/>
      <c r="O29" s="1659"/>
      <c r="P29" s="1664"/>
      <c r="Q29" s="1665"/>
      <c r="R29" s="1666"/>
      <c r="S29" s="1634"/>
      <c r="T29" s="1654"/>
      <c r="U29" s="1654"/>
      <c r="V29" s="1654"/>
      <c r="W29" s="1654"/>
      <c r="X29" s="1654"/>
      <c r="Y29" s="1654"/>
      <c r="Z29" s="1654"/>
      <c r="AA29" s="1654"/>
      <c r="AB29" s="1654"/>
      <c r="AC29" s="1656"/>
      <c r="AD29" s="1645"/>
      <c r="AE29" s="1648"/>
      <c r="AF29" s="1651"/>
      <c r="AG29" s="47"/>
      <c r="AH29" s="47"/>
    </row>
    <row r="30" spans="1:34" ht="26.25" customHeight="1" x14ac:dyDescent="0.25">
      <c r="A30" s="1671"/>
      <c r="B30" s="1671"/>
      <c r="C30" s="1653"/>
      <c r="D30" s="1653"/>
      <c r="E30" s="1654"/>
      <c r="F30" s="1654"/>
      <c r="G30" s="1474"/>
      <c r="H30" s="1653"/>
      <c r="I30" s="1474"/>
      <c r="J30" s="1653"/>
      <c r="K30" s="1474"/>
      <c r="L30" s="119" t="s">
        <v>540</v>
      </c>
      <c r="M30" s="119" t="s">
        <v>541</v>
      </c>
      <c r="N30" s="1653"/>
      <c r="O30" s="1660"/>
      <c r="P30" s="119" t="s">
        <v>540</v>
      </c>
      <c r="Q30" s="119" t="s">
        <v>542</v>
      </c>
      <c r="R30" s="119" t="s">
        <v>541</v>
      </c>
      <c r="S30" s="1653"/>
      <c r="T30" s="42" t="s">
        <v>540</v>
      </c>
      <c r="U30" s="42" t="s">
        <v>542</v>
      </c>
      <c r="V30" s="42" t="s">
        <v>541</v>
      </c>
      <c r="W30" s="42" t="s">
        <v>540</v>
      </c>
      <c r="X30" s="42" t="s">
        <v>542</v>
      </c>
      <c r="Y30" s="42" t="s">
        <v>541</v>
      </c>
      <c r="Z30" s="42" t="s">
        <v>540</v>
      </c>
      <c r="AA30" s="42" t="s">
        <v>542</v>
      </c>
      <c r="AB30" s="42" t="s">
        <v>541</v>
      </c>
      <c r="AC30" s="1657"/>
      <c r="AD30" s="1646"/>
      <c r="AE30" s="1649"/>
      <c r="AF30" s="1652"/>
      <c r="AG30" s="47"/>
      <c r="AH30" s="47"/>
    </row>
    <row r="31" spans="1:34" s="61" customFormat="1" ht="15" customHeight="1" x14ac:dyDescent="0.25">
      <c r="A31" s="40">
        <v>1</v>
      </c>
      <c r="B31" s="40">
        <v>2</v>
      </c>
      <c r="C31" s="40">
        <v>3</v>
      </c>
      <c r="D31" s="40">
        <v>4</v>
      </c>
      <c r="E31" s="40">
        <v>5</v>
      </c>
      <c r="F31" s="40">
        <v>6</v>
      </c>
      <c r="G31" s="40">
        <v>7</v>
      </c>
      <c r="H31" s="40">
        <v>8</v>
      </c>
      <c r="I31" s="40">
        <v>9</v>
      </c>
      <c r="J31" s="40">
        <v>10</v>
      </c>
      <c r="K31" s="40">
        <v>11</v>
      </c>
      <c r="L31" s="40">
        <v>12</v>
      </c>
      <c r="M31" s="40">
        <v>13</v>
      </c>
      <c r="N31" s="40">
        <v>14</v>
      </c>
      <c r="O31" s="40">
        <v>15</v>
      </c>
      <c r="P31" s="40">
        <v>16</v>
      </c>
      <c r="Q31" s="40">
        <v>17</v>
      </c>
      <c r="R31" s="40">
        <v>18</v>
      </c>
      <c r="S31" s="40">
        <v>19</v>
      </c>
      <c r="T31" s="40">
        <v>20</v>
      </c>
      <c r="U31" s="40">
        <v>21</v>
      </c>
      <c r="V31" s="40">
        <v>22</v>
      </c>
      <c r="W31" s="40">
        <v>23</v>
      </c>
      <c r="X31" s="40">
        <v>24</v>
      </c>
      <c r="Y31" s="40">
        <v>25</v>
      </c>
      <c r="Z31" s="40">
        <v>26</v>
      </c>
      <c r="AA31" s="40">
        <v>27</v>
      </c>
      <c r="AB31" s="40">
        <v>28</v>
      </c>
      <c r="AC31" s="40">
        <v>26</v>
      </c>
      <c r="AD31" s="40">
        <v>27</v>
      </c>
      <c r="AE31" s="40">
        <v>28</v>
      </c>
      <c r="AF31" s="40">
        <v>29</v>
      </c>
    </row>
    <row r="32" spans="1:34" s="61" customFormat="1" ht="15" customHeight="1" x14ac:dyDescent="0.25">
      <c r="A32" s="1684" t="s">
        <v>543</v>
      </c>
      <c r="B32" s="1685"/>
      <c r="C32" s="1685"/>
      <c r="D32" s="1685"/>
      <c r="E32" s="1685"/>
      <c r="F32" s="1685"/>
      <c r="G32" s="1685"/>
      <c r="H32" s="1685"/>
      <c r="I32" s="1685"/>
      <c r="J32" s="1685"/>
      <c r="K32" s="1685"/>
      <c r="L32" s="1685"/>
      <c r="M32" s="1685"/>
      <c r="N32" s="1685"/>
      <c r="O32" s="1685"/>
      <c r="P32" s="1685"/>
      <c r="Q32" s="1685"/>
      <c r="R32" s="1685"/>
      <c r="S32" s="1685"/>
      <c r="T32" s="1685"/>
      <c r="U32" s="1685"/>
      <c r="V32" s="1685"/>
      <c r="W32" s="1685"/>
      <c r="X32" s="1685"/>
      <c r="Y32" s="1685"/>
      <c r="Z32" s="1685"/>
      <c r="AA32" s="1685"/>
      <c r="AB32" s="1685"/>
      <c r="AC32" s="1685"/>
      <c r="AD32" s="1685"/>
      <c r="AE32" s="1685"/>
      <c r="AF32" s="1686"/>
      <c r="AG32" s="254"/>
      <c r="AH32" s="254"/>
    </row>
    <row r="33" spans="1:34" s="61" customFormat="1" ht="15" customHeight="1" x14ac:dyDescent="0.25">
      <c r="A33" s="1687" t="s">
        <v>5</v>
      </c>
      <c r="B33" s="1688"/>
      <c r="C33" s="1688"/>
      <c r="D33" s="1688"/>
      <c r="E33" s="1688"/>
      <c r="F33" s="1688"/>
      <c r="G33" s="1688"/>
      <c r="H33" s="1688"/>
      <c r="I33" s="1688"/>
      <c r="J33" s="1688"/>
      <c r="K33" s="1688"/>
      <c r="L33" s="1688"/>
      <c r="M33" s="1688"/>
      <c r="N33" s="1688"/>
      <c r="O33" s="1688"/>
      <c r="P33" s="1688"/>
      <c r="Q33" s="1688"/>
      <c r="R33" s="1688"/>
      <c r="S33" s="1688"/>
      <c r="T33" s="1688"/>
      <c r="U33" s="1688"/>
      <c r="V33" s="1688"/>
      <c r="W33" s="1688"/>
      <c r="X33" s="1688"/>
      <c r="Y33" s="1688"/>
      <c r="Z33" s="1688"/>
      <c r="AA33" s="1688"/>
      <c r="AB33" s="1688"/>
      <c r="AC33" s="1688"/>
      <c r="AD33" s="1688"/>
      <c r="AE33" s="1688"/>
      <c r="AF33" s="1689"/>
      <c r="AG33" s="254"/>
      <c r="AH33" s="254"/>
    </row>
    <row r="34" spans="1:34" s="61" customFormat="1" ht="15" customHeight="1" x14ac:dyDescent="0.25">
      <c r="A34" s="30">
        <v>7122</v>
      </c>
      <c r="B34" s="255" t="s">
        <v>544</v>
      </c>
      <c r="C34" s="30">
        <v>4</v>
      </c>
      <c r="D34" s="30" t="s">
        <v>545</v>
      </c>
      <c r="E34" s="30">
        <v>1</v>
      </c>
      <c r="F34" s="30">
        <v>13</v>
      </c>
      <c r="G34" s="30">
        <v>6</v>
      </c>
      <c r="H34" s="30">
        <v>60</v>
      </c>
      <c r="I34" s="30">
        <f>(8-1-0.75*2)*60*F34-K34-8*0.12*60</f>
        <v>1443.9</v>
      </c>
      <c r="J34" s="30">
        <v>14</v>
      </c>
      <c r="K34" s="30">
        <f>(8-1-0.75*2)*0.65*60*F34</f>
        <v>2788.5</v>
      </c>
      <c r="L34" s="30">
        <v>2.4700000000000002</v>
      </c>
      <c r="M34" s="30">
        <v>2.4700000000000002</v>
      </c>
      <c r="N34" s="30">
        <v>10</v>
      </c>
      <c r="O34" s="30">
        <f>E34/F34</f>
        <v>7.6923076923076927E-2</v>
      </c>
      <c r="P34" s="30">
        <v>180</v>
      </c>
      <c r="Q34" s="30">
        <v>60</v>
      </c>
      <c r="R34" s="256">
        <v>30</v>
      </c>
      <c r="S34" s="30">
        <v>0.48</v>
      </c>
      <c r="T34" s="30">
        <f>ROUND((L34*I34+1.3*L34*K34+S34*H34),4)</f>
        <v>12549.1065</v>
      </c>
      <c r="U34" s="30">
        <f>ROUND((M34*I34+1.3*M34*K34+S34*H34),4)</f>
        <v>12549.1065</v>
      </c>
      <c r="V34" s="30">
        <f>ROUND((M34*I34+1.3*M34*K34+S34*H34),4)</f>
        <v>12549.1065</v>
      </c>
      <c r="W34" s="30">
        <f>ROUND((L34*J34+1.3*L34*N34+S34*G34),4)</f>
        <v>69.569999999999993</v>
      </c>
      <c r="X34" s="30">
        <f>ROUND((M34*J34+1.3*M34*N34+S34*G34),4)</f>
        <v>69.569999999999993</v>
      </c>
      <c r="Y34" s="30">
        <f>ROUND((M34*J34+1.3*M34*N34+S34*G34),4)</f>
        <v>69.569999999999993</v>
      </c>
      <c r="Z34" s="257">
        <f>ROUND((P34*T34*F34*O34/1000000),4)</f>
        <v>2.2587999999999999</v>
      </c>
      <c r="AA34" s="257">
        <f>ROUND((Q34*U34*F34*O34/1000000),4)</f>
        <v>0.75290000000000001</v>
      </c>
      <c r="AB34" s="257">
        <f>ROUND((R34*V34*F34*O34/1000000),4)</f>
        <v>0.3765</v>
      </c>
      <c r="AC34" s="258" t="s">
        <v>165</v>
      </c>
      <c r="AD34" s="259" t="s">
        <v>144</v>
      </c>
      <c r="AE34" s="34">
        <f>ROUND((((X34*E34)/1800)*0.8),4)</f>
        <v>3.09E-2</v>
      </c>
      <c r="AF34" s="34">
        <f>ROUND(((Z34+AA34+AB34)*0.8),4)</f>
        <v>2.7105999999999999</v>
      </c>
      <c r="AG34" s="254"/>
      <c r="AH34" s="254"/>
    </row>
    <row r="35" spans="1:34" s="61" customFormat="1" ht="15" customHeight="1" x14ac:dyDescent="0.25">
      <c r="A35" s="260"/>
      <c r="B35" s="31" t="s">
        <v>546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262"/>
      <c r="T35" s="32"/>
      <c r="U35" s="32"/>
      <c r="V35" s="32"/>
      <c r="W35" s="32"/>
      <c r="X35" s="32"/>
      <c r="Y35" s="32"/>
      <c r="Z35" s="32"/>
      <c r="AA35" s="32"/>
      <c r="AB35" s="32"/>
      <c r="AC35" s="258" t="s">
        <v>166</v>
      </c>
      <c r="AD35" s="259" t="s">
        <v>167</v>
      </c>
      <c r="AE35" s="34">
        <f>ROUND((((X34*E34)/1800)*0.13),4)</f>
        <v>5.0000000000000001E-3</v>
      </c>
      <c r="AF35" s="34">
        <f>ROUND(((Z34+AA34+AB34)*0.13),4)</f>
        <v>0.4405</v>
      </c>
      <c r="AG35" s="254"/>
      <c r="AH35" s="254"/>
    </row>
    <row r="36" spans="1:34" s="61" customFormat="1" ht="15" customHeight="1" x14ac:dyDescent="0.25">
      <c r="A36" s="260"/>
      <c r="B36" s="261"/>
      <c r="C36" s="263"/>
      <c r="D36" s="263"/>
      <c r="E36" s="32"/>
      <c r="F36" s="32"/>
      <c r="G36" s="32"/>
      <c r="H36" s="32"/>
      <c r="I36" s="32"/>
      <c r="J36" s="32"/>
      <c r="K36" s="32"/>
      <c r="L36" s="32">
        <v>0.19</v>
      </c>
      <c r="M36" s="32">
        <v>0.23</v>
      </c>
      <c r="N36" s="32"/>
      <c r="O36" s="32"/>
      <c r="P36" s="32"/>
      <c r="Q36" s="32"/>
      <c r="R36" s="32"/>
      <c r="S36" s="33">
        <v>9.7000000000000003E-2</v>
      </c>
      <c r="T36" s="30">
        <f>ROUND((L36*I34+1.3*L36*K34+S36*H34),4)</f>
        <v>968.92049999999995</v>
      </c>
      <c r="U36" s="30">
        <f>ROUND((M36*0.9*I34+1.3*M36*0.9*K34+S36*H34),4)</f>
        <v>1055.0926999999999</v>
      </c>
      <c r="V36" s="30">
        <f>ROUND((M36*I34+1.3*M36*K34+S36*H34),4)</f>
        <v>1171.6785</v>
      </c>
      <c r="W36" s="30">
        <f>ROUND((L36*J34+1.3*L36*N34+S36*G34),4)</f>
        <v>5.7119999999999997</v>
      </c>
      <c r="X36" s="30">
        <f>ROUND((M36*0.9*J34+1.3*M36*0.9*N34+S36*G34),4)</f>
        <v>6.1710000000000003</v>
      </c>
      <c r="Y36" s="30">
        <f>ROUND((M36*J34+1.3*M36*N34+S36*G34),4)</f>
        <v>6.7919999999999998</v>
      </c>
      <c r="Z36" s="257">
        <f>ROUND((P34*T36*F34*O34/1000000),4)</f>
        <v>0.1744</v>
      </c>
      <c r="AA36" s="257">
        <f>ROUND((Q34*U36*F34*O34/1000000),4)</f>
        <v>6.3299999999999995E-2</v>
      </c>
      <c r="AB36" s="257">
        <f>ROUND((R34*V36*F34*O34/1000000),4)</f>
        <v>3.5200000000000002E-2</v>
      </c>
      <c r="AC36" s="258" t="s">
        <v>547</v>
      </c>
      <c r="AD36" s="259" t="s">
        <v>169</v>
      </c>
      <c r="AE36" s="34">
        <f>ROUND((((X36*E34)/1800)),4)</f>
        <v>3.3999999999999998E-3</v>
      </c>
      <c r="AF36" s="34">
        <f>ROUND(((Z36+AA36+AB36)),5)</f>
        <v>0.27289999999999998</v>
      </c>
      <c r="AG36" s="254"/>
      <c r="AH36" s="254"/>
    </row>
    <row r="37" spans="1:34" s="61" customFormat="1" ht="15" customHeight="1" x14ac:dyDescent="0.25">
      <c r="A37" s="260"/>
      <c r="B37" s="264"/>
      <c r="C37" s="32"/>
      <c r="D37" s="32"/>
      <c r="E37" s="32"/>
      <c r="F37" s="32"/>
      <c r="G37" s="32"/>
      <c r="H37" s="32"/>
      <c r="I37" s="32"/>
      <c r="J37" s="32"/>
      <c r="K37" s="32"/>
      <c r="L37" s="32">
        <v>0.43</v>
      </c>
      <c r="M37" s="32">
        <v>0.51</v>
      </c>
      <c r="N37" s="32"/>
      <c r="O37" s="32"/>
      <c r="P37" s="32"/>
      <c r="Q37" s="32"/>
      <c r="R37" s="32"/>
      <c r="S37" s="33">
        <v>0.3</v>
      </c>
      <c r="T37" s="30">
        <f>ROUND((L37*I34+1.3*L37*K34+S37*H34),4)</f>
        <v>2197.6484999999998</v>
      </c>
      <c r="U37" s="30">
        <f>ROUND((M37*0.9*I34+1.3*M37*0.9*K34+S37*H34),4)</f>
        <v>2344.6480999999999</v>
      </c>
      <c r="V37" s="30">
        <f>ROUND((M37*I34+1.3*M37*K34+S37*H34),4)</f>
        <v>2603.1644999999999</v>
      </c>
      <c r="W37" s="30">
        <f>ROUND((L37*J34+1.3*L37*N34+S37*G34),4)</f>
        <v>13.41</v>
      </c>
      <c r="X37" s="30">
        <f>ROUND((M37*0.9*J34+1.3*M37*0.9*N34+S37*G34),4)</f>
        <v>14.193</v>
      </c>
      <c r="Y37" s="30">
        <f>ROUND((M37*J34+1.3*N34+S37*G34),4)</f>
        <v>21.94</v>
      </c>
      <c r="Z37" s="257">
        <f>ROUND((P34*T37*F34*O34/1000000),4)</f>
        <v>0.39560000000000001</v>
      </c>
      <c r="AA37" s="257">
        <f>ROUND((Q34*U37*F34*O34/1000000),4)</f>
        <v>0.14069999999999999</v>
      </c>
      <c r="AB37" s="257">
        <f>ROUND((R34*V37*F34*O34/1000000),4)</f>
        <v>7.8100000000000003E-2</v>
      </c>
      <c r="AC37" s="258" t="s">
        <v>548</v>
      </c>
      <c r="AD37" s="259" t="s">
        <v>549</v>
      </c>
      <c r="AE37" s="34">
        <f>ROUND((((X37*E34)/1800)),4)</f>
        <v>7.9000000000000008E-3</v>
      </c>
      <c r="AF37" s="34">
        <f>ROUND(((Z37+AA37+AB37)),4)</f>
        <v>0.61439999999999995</v>
      </c>
      <c r="AG37" s="254"/>
      <c r="AH37" s="254"/>
    </row>
    <row r="38" spans="1:34" s="61" customFormat="1" ht="15" customHeight="1" x14ac:dyDescent="0.25">
      <c r="A38" s="260"/>
      <c r="B38" s="261"/>
      <c r="C38" s="32"/>
      <c r="D38" s="32"/>
      <c r="E38" s="32"/>
      <c r="F38" s="32"/>
      <c r="G38" s="32"/>
      <c r="H38" s="32"/>
      <c r="I38" s="32"/>
      <c r="J38" s="32"/>
      <c r="K38" s="32"/>
      <c r="L38" s="32">
        <v>0.27</v>
      </c>
      <c r="M38" s="32">
        <v>0.41</v>
      </c>
      <c r="N38" s="32"/>
      <c r="O38" s="32"/>
      <c r="P38" s="32"/>
      <c r="Q38" s="32"/>
      <c r="R38" s="32"/>
      <c r="S38" s="33">
        <v>0.06</v>
      </c>
      <c r="T38" s="30">
        <f>ROUND((L38*I34+1.3*L38*K34+S38*H34),4)</f>
        <v>1372.2165</v>
      </c>
      <c r="U38" s="30">
        <f>ROUND((M38*0.9*I34+1.3*M38*0.9*K34+S38*H34),4)</f>
        <v>1874.0426</v>
      </c>
      <c r="V38" s="30">
        <f>ROUND((M38*I34+1.3*M38*K34+S38*H34),4)</f>
        <v>2081.8694999999998</v>
      </c>
      <c r="W38" s="30">
        <f>ROUND((L38*J34+1.3*L38*N34+S38*G34),4)</f>
        <v>7.65</v>
      </c>
      <c r="X38" s="30">
        <f>ROUND((M38*0.9*J34+1.3*M38*0.9*N34+S38*G34),4)</f>
        <v>10.323</v>
      </c>
      <c r="Y38" s="30">
        <f>ROUND((M38*J34+1.3*M38*N34+S38*G34),4)</f>
        <v>11.43</v>
      </c>
      <c r="Z38" s="257">
        <f>ROUND((P34*T38*F34*O34/1000000),4)</f>
        <v>0.247</v>
      </c>
      <c r="AA38" s="257">
        <f>ROUND((Q34*U38*F34*O34/1000000),4)</f>
        <v>0.1124</v>
      </c>
      <c r="AB38" s="257">
        <f>ROUND((R34*V38*F34*O34/1000000),4)</f>
        <v>6.25E-2</v>
      </c>
      <c r="AC38" s="258" t="s">
        <v>172</v>
      </c>
      <c r="AD38" s="259" t="s">
        <v>173</v>
      </c>
      <c r="AE38" s="34">
        <f>ROUND((((X38*E34)/1800)),4)</f>
        <v>5.7000000000000002E-3</v>
      </c>
      <c r="AF38" s="34">
        <f>ROUND(((Z38+AA38+AB38)),4)</f>
        <v>0.4219</v>
      </c>
      <c r="AG38" s="254"/>
      <c r="AH38" s="254"/>
    </row>
    <row r="39" spans="1:34" s="61" customFormat="1" ht="15" customHeight="1" x14ac:dyDescent="0.25">
      <c r="A39" s="260"/>
      <c r="B39" s="261"/>
      <c r="C39" s="265"/>
      <c r="D39" s="265"/>
      <c r="E39" s="265"/>
      <c r="F39" s="265"/>
      <c r="G39" s="265"/>
      <c r="H39" s="265"/>
      <c r="I39" s="265"/>
      <c r="J39" s="265"/>
      <c r="K39" s="265"/>
      <c r="L39" s="265">
        <v>1.29</v>
      </c>
      <c r="M39" s="265">
        <v>1.57</v>
      </c>
      <c r="N39" s="265"/>
      <c r="O39" s="265"/>
      <c r="P39" s="265"/>
      <c r="Q39" s="265"/>
      <c r="R39" s="265"/>
      <c r="S39" s="33">
        <v>2.4</v>
      </c>
      <c r="T39" s="33">
        <f>ROUND((L39*I34+1.3*L39*K34+S39*H34),4)</f>
        <v>6682.9454999999998</v>
      </c>
      <c r="U39" s="33">
        <f>ROUND((M39*0.9*I34+1.3*M39*0.9*K34+S39*H34),4)</f>
        <v>7306.4264000000003</v>
      </c>
      <c r="V39" s="33">
        <f>ROUND((M39*I34+1.3*M39*K34+S39*H34),4)</f>
        <v>8102.2515000000003</v>
      </c>
      <c r="W39" s="33">
        <f>ROUND((L39*J34+1.3*L39*N34+S39*G34),4)</f>
        <v>49.23</v>
      </c>
      <c r="X39" s="33">
        <f>ROUND((M39*0.9*J34+1.3*M39*0.9*N34+S39*G34),4)</f>
        <v>52.551000000000002</v>
      </c>
      <c r="Y39" s="33">
        <f>ROUND((M39*J34+1.3*M39*N34+S39*G34),4)</f>
        <v>56.79</v>
      </c>
      <c r="Z39" s="266">
        <f>ROUND((P34*T39*F34*O34/1000000),4)</f>
        <v>1.2029000000000001</v>
      </c>
      <c r="AA39" s="266">
        <f>ROUND((Q34*U39*F34*O34/1000000),4)</f>
        <v>0.43840000000000001</v>
      </c>
      <c r="AB39" s="266">
        <f>ROUND((R34*V39*F34*O34/1000000),4)</f>
        <v>0.24310000000000001</v>
      </c>
      <c r="AC39" s="258" t="s">
        <v>157</v>
      </c>
      <c r="AD39" s="259" t="s">
        <v>153</v>
      </c>
      <c r="AE39" s="34">
        <f>ROUND((((X39*E34)/1800)),4)</f>
        <v>2.92E-2</v>
      </c>
      <c r="AF39" s="34">
        <f>ROUND(((Z39+AA39+AB39)),4)</f>
        <v>1.8844000000000001</v>
      </c>
      <c r="AG39" s="254"/>
      <c r="AH39" s="254"/>
    </row>
    <row r="40" spans="1:34" s="61" customFormat="1" ht="15" customHeight="1" x14ac:dyDescent="0.25">
      <c r="A40" s="260"/>
      <c r="B40" s="255" t="s">
        <v>551</v>
      </c>
      <c r="C40" s="255">
        <v>5</v>
      </c>
      <c r="D40" s="30" t="s">
        <v>552</v>
      </c>
      <c r="E40" s="30">
        <v>1</v>
      </c>
      <c r="F40" s="30">
        <v>20</v>
      </c>
      <c r="G40" s="30">
        <v>6</v>
      </c>
      <c r="H40" s="30">
        <v>60</v>
      </c>
      <c r="I40" s="30">
        <f>(8-1-0.75*2)*60*F40-K40-8*0.12*60</f>
        <v>2252.4</v>
      </c>
      <c r="J40" s="30">
        <v>14</v>
      </c>
      <c r="K40" s="30">
        <f>(8-1-0.75*2)*0.65*60*F40</f>
        <v>4290</v>
      </c>
      <c r="L40" s="30">
        <v>4.01</v>
      </c>
      <c r="M40" s="30">
        <v>4.01</v>
      </c>
      <c r="N40" s="30">
        <v>10</v>
      </c>
      <c r="O40" s="30">
        <f>E40/F40</f>
        <v>0.05</v>
      </c>
      <c r="P40" s="30">
        <v>180</v>
      </c>
      <c r="Q40" s="30">
        <v>60</v>
      </c>
      <c r="R40" s="256">
        <v>30</v>
      </c>
      <c r="S40" s="256">
        <v>0.78</v>
      </c>
      <c r="T40" s="30">
        <f>ROUND((L40*I40+1.3*L40*K40+S40*H40),4)</f>
        <v>31442.694</v>
      </c>
      <c r="U40" s="30">
        <f>ROUND((M40*I40+1.3*M40*K40+S40*H40),4)</f>
        <v>31442.694</v>
      </c>
      <c r="V40" s="30">
        <f>ROUND((M40*I40+1.3*M40*K40+S40*H40),4)</f>
        <v>31442.694</v>
      </c>
      <c r="W40" s="30">
        <f>ROUND((L40*J40+1.3*L40*N40+S40*G40),4)</f>
        <v>112.95</v>
      </c>
      <c r="X40" s="30">
        <f>ROUND((M40*J40+1.3*M40*N40+S40*G40),4)</f>
        <v>112.95</v>
      </c>
      <c r="Y40" s="30">
        <f>ROUND((M40*J40+1.3*M40*N40+S40*G40),4)</f>
        <v>112.95</v>
      </c>
      <c r="Z40" s="257">
        <f>ROUND((P40*T40*F40*O40/1000000),4)</f>
        <v>5.6597</v>
      </c>
      <c r="AA40" s="257">
        <f>ROUND((Q40*U40*F40*O40/1000000),4)</f>
        <v>1.8866000000000001</v>
      </c>
      <c r="AB40" s="257">
        <f>ROUND((R40*V40*F40*O40/1000000),4)</f>
        <v>0.94330000000000003</v>
      </c>
      <c r="AC40" s="258" t="s">
        <v>165</v>
      </c>
      <c r="AD40" s="259" t="s">
        <v>144</v>
      </c>
      <c r="AE40" s="34">
        <f>ROUND((((X40*E40)/1800)*0.8),4)</f>
        <v>5.0200000000000002E-2</v>
      </c>
      <c r="AF40" s="34">
        <f>ROUND(((Z40+AA40+AB40)*0.8),4)</f>
        <v>6.7916999999999996</v>
      </c>
    </row>
    <row r="41" spans="1:34" s="61" customFormat="1" ht="15" customHeight="1" x14ac:dyDescent="0.25">
      <c r="A41" s="260"/>
      <c r="B41" s="267" t="s">
        <v>553</v>
      </c>
      <c r="C41" s="261"/>
      <c r="D41" s="32"/>
      <c r="E41" s="32"/>
      <c r="F41" s="32"/>
      <c r="G41" s="32"/>
      <c r="H41" s="32"/>
      <c r="I41" s="32"/>
      <c r="J41" s="32"/>
      <c r="K41" s="32"/>
      <c r="L41" s="265"/>
      <c r="M41" s="265"/>
      <c r="N41" s="32"/>
      <c r="O41" s="32"/>
      <c r="P41" s="32"/>
      <c r="Q41" s="32"/>
      <c r="R41" s="32"/>
      <c r="S41" s="268"/>
      <c r="T41" s="32"/>
      <c r="U41" s="32"/>
      <c r="V41" s="32"/>
      <c r="W41" s="32"/>
      <c r="X41" s="32"/>
      <c r="Y41" s="32"/>
      <c r="Z41" s="32"/>
      <c r="AA41" s="32"/>
      <c r="AB41" s="32"/>
      <c r="AC41" s="258" t="s">
        <v>166</v>
      </c>
      <c r="AD41" s="259" t="s">
        <v>167</v>
      </c>
      <c r="AE41" s="34">
        <f>ROUND((((X40*E40)/1800)*0.13),4)</f>
        <v>8.2000000000000007E-3</v>
      </c>
      <c r="AF41" s="34">
        <f>ROUND(((Z40+AA40+AB40)*0.13),4)</f>
        <v>1.1035999999999999</v>
      </c>
    </row>
    <row r="42" spans="1:34" s="61" customFormat="1" ht="15" customHeight="1" x14ac:dyDescent="0.25">
      <c r="A42" s="260"/>
      <c r="B42" s="261"/>
      <c r="C42" s="269"/>
      <c r="D42" s="263"/>
      <c r="E42" s="32"/>
      <c r="F42" s="32"/>
      <c r="G42" s="32"/>
      <c r="H42" s="32"/>
      <c r="I42" s="32"/>
      <c r="J42" s="32"/>
      <c r="K42" s="32"/>
      <c r="L42" s="34">
        <v>0.31</v>
      </c>
      <c r="M42" s="34">
        <v>0.38</v>
      </c>
      <c r="N42" s="32"/>
      <c r="O42" s="32"/>
      <c r="P42" s="32"/>
      <c r="Q42" s="32"/>
      <c r="R42" s="32"/>
      <c r="S42" s="270">
        <v>0.16</v>
      </c>
      <c r="T42" s="30">
        <f>ROUND((L42*I40+1.3*L42*K40+S42*H40),4)</f>
        <v>2436.7139999999999</v>
      </c>
      <c r="U42" s="30">
        <f>ROUND((M42*0.9*I40+1.3*M42*0.9*K40+S42*H40),4)</f>
        <v>2687.2548000000002</v>
      </c>
      <c r="V42" s="30">
        <f>ROUND((M42*I40+1.3*M42*K40+S42*H40),4)</f>
        <v>2984.7719999999999</v>
      </c>
      <c r="W42" s="30">
        <f>ROUND((L42*J40+1.3*L42*N40+S42*G40),4)</f>
        <v>9.33</v>
      </c>
      <c r="X42" s="30">
        <f>ROUND((M42*0.9*J40+1.3*M42*0.9*N40+S42*G40),4)</f>
        <v>10.194000000000001</v>
      </c>
      <c r="Y42" s="30">
        <f>ROUND((M42*J40+1.3*M42*N40+S42*G40),4)</f>
        <v>11.22</v>
      </c>
      <c r="Z42" s="257">
        <f>ROUND((P40*T42*F40*O40/1000000),4)</f>
        <v>0.43859999999999999</v>
      </c>
      <c r="AA42" s="257">
        <f>ROUND((Q40*U42*F40*O40/1000000),4)</f>
        <v>0.16120000000000001</v>
      </c>
      <c r="AB42" s="257">
        <f>ROUND((R40*V42*F40*O40/1000000),4)</f>
        <v>8.9499999999999996E-2</v>
      </c>
      <c r="AC42" s="258" t="s">
        <v>547</v>
      </c>
      <c r="AD42" s="259" t="s">
        <v>169</v>
      </c>
      <c r="AE42" s="34">
        <f>ROUND((((X42*E40)/1800)),4)</f>
        <v>5.7000000000000002E-3</v>
      </c>
      <c r="AF42" s="34">
        <f>ROUND(((Z42+AA42+AB42)),5)</f>
        <v>0.68930000000000002</v>
      </c>
    </row>
    <row r="43" spans="1:34" s="61" customFormat="1" ht="15" customHeight="1" x14ac:dyDescent="0.25">
      <c r="A43" s="260"/>
      <c r="B43" s="261"/>
      <c r="C43" s="261"/>
      <c r="D43" s="32"/>
      <c r="E43" s="32"/>
      <c r="F43" s="32"/>
      <c r="G43" s="32"/>
      <c r="H43" s="32"/>
      <c r="I43" s="32"/>
      <c r="J43" s="32"/>
      <c r="K43" s="32"/>
      <c r="L43" s="34">
        <v>0.71</v>
      </c>
      <c r="M43" s="34">
        <v>0.85</v>
      </c>
      <c r="N43" s="32"/>
      <c r="O43" s="32"/>
      <c r="P43" s="32"/>
      <c r="Q43" s="32"/>
      <c r="R43" s="32"/>
      <c r="S43" s="271">
        <v>0.49</v>
      </c>
      <c r="T43" s="30">
        <f>ROUND((L43*I40+1.3*L43*K40+S43*H40),4)</f>
        <v>5588.2740000000003</v>
      </c>
      <c r="U43" s="30">
        <f>ROUND((M43*0.9*I40+1.3*M43*0.9*K40+S43*H40),4)</f>
        <v>6018.8909999999996</v>
      </c>
      <c r="V43" s="30">
        <f>ROUND((M43*I40+1.3*M43*K40+S43*H40),4)</f>
        <v>6684.39</v>
      </c>
      <c r="W43" s="30">
        <f>ROUND((L43*J40+1.3*L43*N40+S43*G40),4)</f>
        <v>22.11</v>
      </c>
      <c r="X43" s="30">
        <f>ROUND((M43*0.9*J40+1.3*M43*0.9*N40+S43*G40),4)</f>
        <v>23.594999999999999</v>
      </c>
      <c r="Y43" s="30">
        <f>ROUND((M43*J40+1.3*N40+S43*G40),4)</f>
        <v>27.84</v>
      </c>
      <c r="Z43" s="257">
        <f>ROUND((P40*T43*F40*O40/1000000),4)</f>
        <v>1.0059</v>
      </c>
      <c r="AA43" s="257">
        <f>ROUND((Q40*U43*F40*O40/1000000),4)</f>
        <v>0.36109999999999998</v>
      </c>
      <c r="AB43" s="257">
        <f>ROUND((R40*V43*F40*O40/1000000),4)</f>
        <v>0.20050000000000001</v>
      </c>
      <c r="AC43" s="258" t="s">
        <v>548</v>
      </c>
      <c r="AD43" s="259" t="s">
        <v>549</v>
      </c>
      <c r="AE43" s="34">
        <f>ROUND((((X43*E40)/1800)),4)</f>
        <v>1.3100000000000001E-2</v>
      </c>
      <c r="AF43" s="34">
        <f>ROUND(((Z43+AA43+AB43)),4)</f>
        <v>1.5674999999999999</v>
      </c>
    </row>
    <row r="44" spans="1:34" s="61" customFormat="1" ht="15" customHeight="1" x14ac:dyDescent="0.25">
      <c r="A44" s="260"/>
      <c r="B44" s="261"/>
      <c r="C44" s="261"/>
      <c r="D44" s="32"/>
      <c r="E44" s="32"/>
      <c r="F44" s="32"/>
      <c r="G44" s="32"/>
      <c r="H44" s="32"/>
      <c r="I44" s="32"/>
      <c r="J44" s="32"/>
      <c r="K44" s="32"/>
      <c r="L44" s="34">
        <v>0.45</v>
      </c>
      <c r="M44" s="34">
        <v>0.67</v>
      </c>
      <c r="N44" s="32"/>
      <c r="O44" s="32"/>
      <c r="P44" s="32"/>
      <c r="Q44" s="32"/>
      <c r="R44" s="32"/>
      <c r="S44" s="271">
        <v>0.1</v>
      </c>
      <c r="T44" s="30">
        <f>ROUND((L44*I40+1.3*L44*K40+S44*H40),4)</f>
        <v>3529.23</v>
      </c>
      <c r="U44" s="30">
        <f>ROUND((M44*0.9*I40+1.3*M44*0.9*K40+S44*H40),4)</f>
        <v>4727.1282000000001</v>
      </c>
      <c r="V44" s="30">
        <f>ROUND((M44*I40+1.3*M44*K40+S44*H40),4)</f>
        <v>5251.6980000000003</v>
      </c>
      <c r="W44" s="30">
        <f>ROUND((L44*J40+1.3*L44*N40+S44*G40),4)</f>
        <v>12.75</v>
      </c>
      <c r="X44" s="30">
        <f>ROUND((M44*0.9*J40+1.3*M44*0.9*N40+S44*G40),4)</f>
        <v>16.881</v>
      </c>
      <c r="Y44" s="30">
        <f>ROUND((M44*J40+1.3*M44*N40+S44*G40),4)</f>
        <v>18.690000000000001</v>
      </c>
      <c r="Z44" s="257">
        <f>ROUND((P40*T44*F40*O40/1000000),4)</f>
        <v>0.63529999999999998</v>
      </c>
      <c r="AA44" s="257">
        <f>ROUND((Q40*U44*F40*O40/1000000),4)</f>
        <v>0.28360000000000002</v>
      </c>
      <c r="AB44" s="257">
        <f>ROUND((R40*V44*F40*O40/1000000),4)</f>
        <v>0.15759999999999999</v>
      </c>
      <c r="AC44" s="258" t="s">
        <v>172</v>
      </c>
      <c r="AD44" s="259" t="s">
        <v>173</v>
      </c>
      <c r="AE44" s="34">
        <f>ROUND((((X44*E40)/1800)),4)</f>
        <v>9.4000000000000004E-3</v>
      </c>
      <c r="AF44" s="34">
        <f>ROUND(((Z44+AA44+AB44)),4)</f>
        <v>1.0765</v>
      </c>
    </row>
    <row r="45" spans="1:34" s="61" customFormat="1" ht="15" customHeight="1" x14ac:dyDescent="0.25">
      <c r="A45" s="260"/>
      <c r="B45" s="272"/>
      <c r="C45" s="272"/>
      <c r="D45" s="265"/>
      <c r="E45" s="265"/>
      <c r="F45" s="265"/>
      <c r="G45" s="265"/>
      <c r="H45" s="265"/>
      <c r="I45" s="265"/>
      <c r="J45" s="265"/>
      <c r="K45" s="265"/>
      <c r="L45" s="34">
        <v>2.09</v>
      </c>
      <c r="M45" s="34">
        <v>2.5499999999999998</v>
      </c>
      <c r="N45" s="265"/>
      <c r="O45" s="265"/>
      <c r="P45" s="265"/>
      <c r="Q45" s="265"/>
      <c r="R45" s="265"/>
      <c r="S45" s="271">
        <v>3.91</v>
      </c>
      <c r="T45" s="30">
        <f>ROUND((L45*I40+1.3*L45*K40+S45*H40),4)</f>
        <v>16598.045999999998</v>
      </c>
      <c r="U45" s="30">
        <f>ROUND((M45*0.9*I40+1.3*M45*0.9*K40+S45*H40),4)</f>
        <v>18203.073</v>
      </c>
      <c r="V45" s="30">
        <f>ROUND((M45*I40+1.3*M45*K40+S45*H40),4)</f>
        <v>20199.57</v>
      </c>
      <c r="W45" s="30">
        <f>ROUND((L45*J40+1.3*L45*N40+S45*G40),4)</f>
        <v>79.89</v>
      </c>
      <c r="X45" s="30">
        <f>ROUND((M45*0.9*J40+1.3*M45*0.9*N40+S45*G40),4)</f>
        <v>85.424999999999997</v>
      </c>
      <c r="Y45" s="30">
        <f>ROUND((M45*J40+1.3*M45*N40+S45*G40),4)</f>
        <v>92.31</v>
      </c>
      <c r="Z45" s="257">
        <f>ROUND((P40*T45*F40*O40/1000000),4)</f>
        <v>2.9876</v>
      </c>
      <c r="AA45" s="257">
        <f>ROUND((Q40*U45*F40*O40/1000000),4)</f>
        <v>1.0922000000000001</v>
      </c>
      <c r="AB45" s="257">
        <f>ROUND((R40*V45*F40*O40/1000000),4)</f>
        <v>0.60599999999999998</v>
      </c>
      <c r="AC45" s="258" t="s">
        <v>157</v>
      </c>
      <c r="AD45" s="259" t="s">
        <v>153</v>
      </c>
      <c r="AE45" s="34">
        <f>ROUND((((X45*E40)/1800)),4)</f>
        <v>4.7500000000000001E-2</v>
      </c>
      <c r="AF45" s="34">
        <f>ROUND(((Z45+AA45+AB45)),4)</f>
        <v>4.6858000000000004</v>
      </c>
    </row>
    <row r="46" spans="1:34" s="61" customFormat="1" ht="15" customHeight="1" x14ac:dyDescent="0.25">
      <c r="A46" s="260"/>
      <c r="B46" s="255" t="s">
        <v>554</v>
      </c>
      <c r="C46" s="255">
        <v>5</v>
      </c>
      <c r="D46" s="30" t="s">
        <v>552</v>
      </c>
      <c r="E46" s="30">
        <v>1</v>
      </c>
      <c r="F46" s="30">
        <v>2</v>
      </c>
      <c r="G46" s="30">
        <v>6</v>
      </c>
      <c r="H46" s="30">
        <v>60</v>
      </c>
      <c r="I46" s="30">
        <f>(8-1-0.75*2)*60*F46-K46-8*0.12*60</f>
        <v>173.4</v>
      </c>
      <c r="J46" s="30">
        <v>14</v>
      </c>
      <c r="K46" s="30">
        <f>(8-1-0.75*2)*0.65*60*F46</f>
        <v>429</v>
      </c>
      <c r="L46" s="30">
        <v>4.01</v>
      </c>
      <c r="M46" s="30">
        <v>4.01</v>
      </c>
      <c r="N46" s="30">
        <v>10</v>
      </c>
      <c r="O46" s="30">
        <f>E46/F46</f>
        <v>0.5</v>
      </c>
      <c r="P46" s="30">
        <v>180</v>
      </c>
      <c r="Q46" s="30">
        <v>60</v>
      </c>
      <c r="R46" s="256">
        <v>30</v>
      </c>
      <c r="S46" s="256">
        <v>0.78</v>
      </c>
      <c r="T46" s="30">
        <f>ROUND((L46*I46+1.3*L46*K46+S46*H46),4)</f>
        <v>2978.511</v>
      </c>
      <c r="U46" s="30">
        <f>ROUND((M46*I46+1.3*M46*K46+S46*H46),4)</f>
        <v>2978.511</v>
      </c>
      <c r="V46" s="30">
        <f>ROUND((M46*I46+1.3*M46*K46+S46*H46),4)</f>
        <v>2978.511</v>
      </c>
      <c r="W46" s="30">
        <f>ROUND((L46*J46+1.3*L46*N46+S46*G46),4)</f>
        <v>112.95</v>
      </c>
      <c r="X46" s="30">
        <f>ROUND((M46*J46+1.3*M46*N46+S46*G46),4)</f>
        <v>112.95</v>
      </c>
      <c r="Y46" s="30">
        <f>ROUND((M46*J46+1.3*M46*N46+S46*G46),4)</f>
        <v>112.95</v>
      </c>
      <c r="Z46" s="257">
        <f>ROUND((P46*T46*F46*O46/1000000),4)</f>
        <v>0.53610000000000002</v>
      </c>
      <c r="AA46" s="257">
        <f>ROUND((Q46*U46*F46*O46/1000000),4)</f>
        <v>0.1787</v>
      </c>
      <c r="AB46" s="257">
        <f>ROUND((R46*V46*F46*O46/1000000),4)</f>
        <v>8.9399999999999993E-2</v>
      </c>
      <c r="AC46" s="258" t="s">
        <v>165</v>
      </c>
      <c r="AD46" s="259" t="s">
        <v>144</v>
      </c>
      <c r="AE46" s="34">
        <f>ROUND((((X46*E46)/1800)*0.8),4)</f>
        <v>5.0200000000000002E-2</v>
      </c>
      <c r="AF46" s="34">
        <f>ROUND(((Z46+AA46+AB46)*0.8),4)</f>
        <v>0.64339999999999997</v>
      </c>
      <c r="AG46" s="254"/>
      <c r="AH46" s="254"/>
    </row>
    <row r="47" spans="1:34" s="61" customFormat="1" ht="15" customHeight="1" x14ac:dyDescent="0.25">
      <c r="A47" s="260"/>
      <c r="B47" s="267" t="s">
        <v>555</v>
      </c>
      <c r="C47" s="261"/>
      <c r="D47" s="32"/>
      <c r="E47" s="32"/>
      <c r="F47" s="32"/>
      <c r="G47" s="32"/>
      <c r="H47" s="32"/>
      <c r="I47" s="32"/>
      <c r="J47" s="32"/>
      <c r="K47" s="32"/>
      <c r="L47" s="265"/>
      <c r="M47" s="265"/>
      <c r="N47" s="32"/>
      <c r="O47" s="32"/>
      <c r="P47" s="32"/>
      <c r="Q47" s="32"/>
      <c r="R47" s="32"/>
      <c r="S47" s="268"/>
      <c r="T47" s="32"/>
      <c r="U47" s="32"/>
      <c r="V47" s="32"/>
      <c r="W47" s="32"/>
      <c r="X47" s="32"/>
      <c r="Y47" s="32"/>
      <c r="Z47" s="32"/>
      <c r="AA47" s="32"/>
      <c r="AB47" s="32"/>
      <c r="AC47" s="258" t="s">
        <v>166</v>
      </c>
      <c r="AD47" s="259" t="s">
        <v>167</v>
      </c>
      <c r="AE47" s="34">
        <f>ROUND((((X46*E46)/1800)*0.13),4)</f>
        <v>8.2000000000000007E-3</v>
      </c>
      <c r="AF47" s="34">
        <f>ROUND(((Z46+AA46+AB46)*0.13),4)</f>
        <v>0.1045</v>
      </c>
      <c r="AG47" s="254"/>
      <c r="AH47" s="254"/>
    </row>
    <row r="48" spans="1:34" s="61" customFormat="1" ht="15" customHeight="1" x14ac:dyDescent="0.25">
      <c r="A48" s="260"/>
      <c r="B48" s="261"/>
      <c r="C48" s="269"/>
      <c r="D48" s="263"/>
      <c r="E48" s="32"/>
      <c r="F48" s="32"/>
      <c r="G48" s="32"/>
      <c r="H48" s="32"/>
      <c r="I48" s="32"/>
      <c r="J48" s="32"/>
      <c r="K48" s="32"/>
      <c r="L48" s="34">
        <v>0.31</v>
      </c>
      <c r="M48" s="34">
        <v>0.38</v>
      </c>
      <c r="N48" s="32"/>
      <c r="O48" s="32"/>
      <c r="P48" s="32"/>
      <c r="Q48" s="32"/>
      <c r="R48" s="32"/>
      <c r="S48" s="270">
        <v>0.16</v>
      </c>
      <c r="T48" s="30">
        <f>ROUND((L48*I46+1.3*L48*K46+S48*H46),4)</f>
        <v>236.24100000000001</v>
      </c>
      <c r="U48" s="30">
        <f>ROUND((M48*0.9*I46+1.3*M48*0.9*K46+S48*H46),4)</f>
        <v>259.63619999999997</v>
      </c>
      <c r="V48" s="30">
        <f>ROUND((M48*I46+1.3*M48*K46+S48*H46),4)</f>
        <v>287.41800000000001</v>
      </c>
      <c r="W48" s="30">
        <f>ROUND((L48*J46+1.3*L48*N46+S48*G46),4)</f>
        <v>9.33</v>
      </c>
      <c r="X48" s="30">
        <f>ROUND((M48*0.9*J46+1.3*M48*0.9*N46+S48*G46),4)</f>
        <v>10.194000000000001</v>
      </c>
      <c r="Y48" s="30">
        <f>ROUND((M48*J46+1.3*M48*N46+S48*G46),4)</f>
        <v>11.22</v>
      </c>
      <c r="Z48" s="257">
        <f>ROUND((P46*T48*F46*O46/1000000),4)</f>
        <v>4.2500000000000003E-2</v>
      </c>
      <c r="AA48" s="257">
        <f>ROUND((Q46*U48*F46*O46/1000000),4)</f>
        <v>1.5599999999999999E-2</v>
      </c>
      <c r="AB48" s="257">
        <f>ROUND((R46*V48*F46*O46/1000000),4)</f>
        <v>8.6E-3</v>
      </c>
      <c r="AC48" s="258" t="s">
        <v>547</v>
      </c>
      <c r="AD48" s="259" t="s">
        <v>169</v>
      </c>
      <c r="AE48" s="34">
        <f>ROUND((((X48*E46)/1800)),4)</f>
        <v>5.7000000000000002E-3</v>
      </c>
      <c r="AF48" s="34">
        <f>ROUND(((Z48+AA48+AB48)),5)</f>
        <v>6.6699999999999995E-2</v>
      </c>
      <c r="AG48" s="254"/>
      <c r="AH48" s="254"/>
    </row>
    <row r="49" spans="1:34" s="61" customFormat="1" ht="15" customHeight="1" x14ac:dyDescent="0.25">
      <c r="A49" s="260"/>
      <c r="B49" s="261"/>
      <c r="C49" s="261"/>
      <c r="D49" s="32"/>
      <c r="E49" s="32"/>
      <c r="F49" s="32"/>
      <c r="G49" s="32"/>
      <c r="H49" s="32"/>
      <c r="I49" s="32"/>
      <c r="J49" s="32"/>
      <c r="K49" s="32"/>
      <c r="L49" s="34">
        <v>0.71</v>
      </c>
      <c r="M49" s="34">
        <v>0.85</v>
      </c>
      <c r="N49" s="32"/>
      <c r="O49" s="32"/>
      <c r="P49" s="32"/>
      <c r="Q49" s="32"/>
      <c r="R49" s="32"/>
      <c r="S49" s="271">
        <v>0.49</v>
      </c>
      <c r="T49" s="30">
        <f>ROUND((L49*I46+1.3*L49*K46+S49*H46),4)</f>
        <v>548.48099999999999</v>
      </c>
      <c r="U49" s="30">
        <f>ROUND((M49*0.9*I46+1.3*M49*0.9*K46+S49*H46),4)</f>
        <v>588.69150000000002</v>
      </c>
      <c r="V49" s="30">
        <f>ROUND((M49*I46+1.3*M49*K46+S49*H46),4)</f>
        <v>650.83500000000004</v>
      </c>
      <c r="W49" s="30">
        <f>ROUND((L49*J46+1.3*L49*N46+S49*G46),4)</f>
        <v>22.11</v>
      </c>
      <c r="X49" s="30">
        <f>ROUND((M49*0.9*J46+1.3*M49*0.9*N46+S49*G46),4)</f>
        <v>23.594999999999999</v>
      </c>
      <c r="Y49" s="30">
        <f>ROUND((M49*J46+1.3*N46+S49*G46),4)</f>
        <v>27.84</v>
      </c>
      <c r="Z49" s="257">
        <f>ROUND((P46*T49*F46*O46/1000000),4)</f>
        <v>9.8699999999999996E-2</v>
      </c>
      <c r="AA49" s="257">
        <f>ROUND((Q46*U49*F46*O46/1000000),4)</f>
        <v>3.5299999999999998E-2</v>
      </c>
      <c r="AB49" s="257">
        <f>ROUND((R46*V49*F46*O46/1000000),4)</f>
        <v>1.95E-2</v>
      </c>
      <c r="AC49" s="258" t="s">
        <v>548</v>
      </c>
      <c r="AD49" s="259" t="s">
        <v>549</v>
      </c>
      <c r="AE49" s="34">
        <f>ROUND((((X49*E46)/1800)),4)</f>
        <v>1.3100000000000001E-2</v>
      </c>
      <c r="AF49" s="34">
        <f>ROUND(((Z49+AA49+AB49)),4)</f>
        <v>0.1535</v>
      </c>
      <c r="AG49" s="254"/>
      <c r="AH49" s="254"/>
    </row>
    <row r="50" spans="1:34" s="61" customFormat="1" ht="15" customHeight="1" x14ac:dyDescent="0.25">
      <c r="A50" s="260"/>
      <c r="B50" s="261"/>
      <c r="C50" s="261"/>
      <c r="D50" s="32"/>
      <c r="E50" s="32"/>
      <c r="F50" s="32"/>
      <c r="G50" s="32"/>
      <c r="H50" s="32"/>
      <c r="I50" s="32"/>
      <c r="J50" s="32"/>
      <c r="K50" s="32"/>
      <c r="L50" s="34">
        <v>0.45</v>
      </c>
      <c r="M50" s="34">
        <v>0.67</v>
      </c>
      <c r="N50" s="32"/>
      <c r="O50" s="32"/>
      <c r="P50" s="32"/>
      <c r="Q50" s="32"/>
      <c r="R50" s="32"/>
      <c r="S50" s="271">
        <v>0.1</v>
      </c>
      <c r="T50" s="30">
        <f>ROUND((L50*I46+1.3*L50*K46+S50*H46),4)</f>
        <v>334.995</v>
      </c>
      <c r="U50" s="30">
        <f>ROUND((M50*0.9*I46+1.3*M50*0.9*K46+S50*H46),4)</f>
        <v>446.85329999999999</v>
      </c>
      <c r="V50" s="30">
        <f>ROUND((M50*I46+1.3*M50*K46+S50*H46),4)</f>
        <v>495.83699999999999</v>
      </c>
      <c r="W50" s="30">
        <f>ROUND((L50*J46+1.3*L50*N46+S50*G46),4)</f>
        <v>12.75</v>
      </c>
      <c r="X50" s="30">
        <f>ROUND((M50*0.9*J46+1.3*M50*0.9*N46+S50*G46),4)</f>
        <v>16.881</v>
      </c>
      <c r="Y50" s="30">
        <f>ROUND((M50*J46+1.3*M50*N46+S50*G46),4)</f>
        <v>18.690000000000001</v>
      </c>
      <c r="Z50" s="257">
        <f>ROUND((P46*T50*F46*O46/1000000),4)</f>
        <v>6.0299999999999999E-2</v>
      </c>
      <c r="AA50" s="257">
        <f>ROUND((Q46*U50*F46*O46/1000000),4)</f>
        <v>2.6800000000000001E-2</v>
      </c>
      <c r="AB50" s="257">
        <f>ROUND((R46*V50*F46*O46/1000000),4)</f>
        <v>1.49E-2</v>
      </c>
      <c r="AC50" s="258" t="s">
        <v>172</v>
      </c>
      <c r="AD50" s="259" t="s">
        <v>173</v>
      </c>
      <c r="AE50" s="34">
        <f>ROUND((((X50*E46)/1800)),4)</f>
        <v>9.4000000000000004E-3</v>
      </c>
      <c r="AF50" s="34">
        <f>ROUND(((Z50+AA50+AB50)),4)</f>
        <v>0.10199999999999999</v>
      </c>
      <c r="AG50" s="254"/>
      <c r="AH50" s="254"/>
    </row>
    <row r="51" spans="1:34" s="61" customFormat="1" ht="15" customHeight="1" x14ac:dyDescent="0.25">
      <c r="A51" s="260"/>
      <c r="B51" s="272"/>
      <c r="C51" s="272"/>
      <c r="D51" s="265"/>
      <c r="E51" s="265"/>
      <c r="F51" s="265"/>
      <c r="G51" s="265"/>
      <c r="H51" s="265"/>
      <c r="I51" s="265"/>
      <c r="J51" s="265"/>
      <c r="K51" s="265"/>
      <c r="L51" s="34">
        <v>2.09</v>
      </c>
      <c r="M51" s="34">
        <v>2.5499999999999998</v>
      </c>
      <c r="N51" s="265"/>
      <c r="O51" s="265"/>
      <c r="P51" s="265"/>
      <c r="Q51" s="265"/>
      <c r="R51" s="265"/>
      <c r="S51" s="271">
        <v>3.91</v>
      </c>
      <c r="T51" s="30">
        <f>ROUND((L51*I46+1.3*L51*K46+S51*H46),4)</f>
        <v>1762.5989999999999</v>
      </c>
      <c r="U51" s="30">
        <f>ROUND((M51*0.9*I46+1.3*M51*0.9*K46+S51*H46),4)</f>
        <v>1912.4745</v>
      </c>
      <c r="V51" s="30">
        <f>ROUND((M51*I46+1.3*M51*K46+S51*H46),4)</f>
        <v>2098.9050000000002</v>
      </c>
      <c r="W51" s="30">
        <f>ROUND((L51*J46+1.3*L51*N46+S51*G46),4)</f>
        <v>79.89</v>
      </c>
      <c r="X51" s="30">
        <f>ROUND((M51*0.9*J46+1.3*M51*0.9*N46+S51*G46),4)</f>
        <v>85.424999999999997</v>
      </c>
      <c r="Y51" s="30">
        <f>ROUND((M51*J46+1.3*M51*N46+S51*G46),4)</f>
        <v>92.31</v>
      </c>
      <c r="Z51" s="257">
        <f>ROUND((P46*T51*F46*O46/1000000),4)</f>
        <v>0.31730000000000003</v>
      </c>
      <c r="AA51" s="257">
        <f>ROUND((Q46*U51*F46*O46/1000000),4)</f>
        <v>0.1147</v>
      </c>
      <c r="AB51" s="257">
        <f>ROUND((R46*V51*F46*O46/1000000),4)</f>
        <v>6.3E-2</v>
      </c>
      <c r="AC51" s="258" t="s">
        <v>157</v>
      </c>
      <c r="AD51" s="259" t="s">
        <v>153</v>
      </c>
      <c r="AE51" s="34">
        <f>ROUND((((X51*E46)/1800)),4)</f>
        <v>4.7500000000000001E-2</v>
      </c>
      <c r="AF51" s="34">
        <f>ROUND(((Z51+AA51+AB51)),4)</f>
        <v>0.495</v>
      </c>
      <c r="AG51" s="254"/>
      <c r="AH51" s="254"/>
    </row>
    <row r="52" spans="1:34" s="61" customFormat="1" ht="15" customHeight="1" x14ac:dyDescent="0.25">
      <c r="A52" s="260"/>
      <c r="B52" s="255" t="s">
        <v>551</v>
      </c>
      <c r="C52" s="255">
        <v>6</v>
      </c>
      <c r="D52" s="30" t="s">
        <v>556</v>
      </c>
      <c r="E52" s="30">
        <v>1</v>
      </c>
      <c r="F52" s="30">
        <v>15</v>
      </c>
      <c r="G52" s="30">
        <v>6</v>
      </c>
      <c r="H52" s="30">
        <v>60</v>
      </c>
      <c r="I52" s="30">
        <f>(8-1-0.75*2)*60*F52-K52-8*0.12*60</f>
        <v>1674.9</v>
      </c>
      <c r="J52" s="30">
        <v>14</v>
      </c>
      <c r="K52" s="30">
        <f>(8-1-0.75*2)*0.65*60*F52</f>
        <v>3217.5</v>
      </c>
      <c r="L52" s="30">
        <v>6.47</v>
      </c>
      <c r="M52" s="30">
        <v>6.47</v>
      </c>
      <c r="N52" s="30">
        <v>10</v>
      </c>
      <c r="O52" s="30">
        <f>E52/F52</f>
        <v>6.6666666666666666E-2</v>
      </c>
      <c r="P52" s="30">
        <v>180</v>
      </c>
      <c r="Q52" s="30">
        <v>60</v>
      </c>
      <c r="R52" s="256">
        <v>30</v>
      </c>
      <c r="S52" s="256">
        <v>1.27</v>
      </c>
      <c r="T52" s="30">
        <f>ROUND((L52*I52+1.3*L52*K52+S52*H52),4)</f>
        <v>37975.195500000002</v>
      </c>
      <c r="U52" s="30">
        <f>ROUND((M52*I52+1.3*M52*K52+S52*H52),4)</f>
        <v>37975.195500000002</v>
      </c>
      <c r="V52" s="30">
        <f>ROUND((M52*I52+1.3*M52*K52+S52*H52),4)</f>
        <v>37975.195500000002</v>
      </c>
      <c r="W52" s="30">
        <f>ROUND((L52*J52+1.3*L52*N52+S52*G52),4)</f>
        <v>182.31</v>
      </c>
      <c r="X52" s="30">
        <f>ROUND((M52*J52+1.3*M52*N52+S52*G52),4)</f>
        <v>182.31</v>
      </c>
      <c r="Y52" s="30">
        <f>ROUND((M52*J52+1.3*M52*N52+S52*G52),4)</f>
        <v>182.31</v>
      </c>
      <c r="Z52" s="257">
        <f>ROUND((P52*T52*F52*O52/1000000),4)</f>
        <v>6.8354999999999997</v>
      </c>
      <c r="AA52" s="257">
        <f>ROUND((Q52*U52*F52*O52/1000000),4)</f>
        <v>2.2785000000000002</v>
      </c>
      <c r="AB52" s="257">
        <f>ROUND((R52*V52*F52*O52/1000000),4)</f>
        <v>1.1393</v>
      </c>
      <c r="AC52" s="258" t="s">
        <v>165</v>
      </c>
      <c r="AD52" s="259" t="s">
        <v>144</v>
      </c>
      <c r="AE52" s="34">
        <f>ROUND((((X52*E52)/1800)*0.8),4)</f>
        <v>8.1000000000000003E-2</v>
      </c>
      <c r="AF52" s="34">
        <f>ROUND(((Z52+AA52+AB52)*0.8),4)</f>
        <v>8.2026000000000003</v>
      </c>
      <c r="AG52" s="254"/>
      <c r="AH52" s="254"/>
    </row>
    <row r="53" spans="1:34" s="61" customFormat="1" ht="15" customHeight="1" x14ac:dyDescent="0.25">
      <c r="A53" s="260"/>
      <c r="B53" s="261" t="s">
        <v>557</v>
      </c>
      <c r="C53" s="32"/>
      <c r="D53" s="32"/>
      <c r="E53" s="32"/>
      <c r="F53" s="32"/>
      <c r="G53" s="32"/>
      <c r="H53" s="32"/>
      <c r="I53" s="32"/>
      <c r="J53" s="32"/>
      <c r="K53" s="32"/>
      <c r="L53" s="265"/>
      <c r="M53" s="265"/>
      <c r="N53" s="32"/>
      <c r="O53" s="32"/>
      <c r="P53" s="32"/>
      <c r="Q53" s="32"/>
      <c r="R53" s="32"/>
      <c r="S53" s="268"/>
      <c r="T53" s="32"/>
      <c r="U53" s="32"/>
      <c r="V53" s="32"/>
      <c r="W53" s="32"/>
      <c r="X53" s="32"/>
      <c r="Y53" s="32"/>
      <c r="Z53" s="32"/>
      <c r="AA53" s="32"/>
      <c r="AB53" s="32"/>
      <c r="AC53" s="258" t="s">
        <v>166</v>
      </c>
      <c r="AD53" s="259" t="s">
        <v>167</v>
      </c>
      <c r="AE53" s="34">
        <f>ROUND((((X52*E52)/1800)*0.13),4)</f>
        <v>1.32E-2</v>
      </c>
      <c r="AF53" s="34">
        <f>ROUND(((Z52+AA52+AB52)*0.13),4)</f>
        <v>1.3329</v>
      </c>
      <c r="AG53" s="254"/>
      <c r="AH53" s="254"/>
    </row>
    <row r="54" spans="1:34" s="61" customFormat="1" ht="15" customHeight="1" x14ac:dyDescent="0.25">
      <c r="A54" s="260"/>
      <c r="B54" s="273"/>
      <c r="C54" s="263"/>
      <c r="D54" s="263"/>
      <c r="E54" s="32"/>
      <c r="F54" s="32"/>
      <c r="G54" s="32"/>
      <c r="H54" s="32"/>
      <c r="I54" s="32"/>
      <c r="J54" s="32"/>
      <c r="K54" s="32"/>
      <c r="L54" s="34">
        <v>0.51</v>
      </c>
      <c r="M54" s="34">
        <v>0.63</v>
      </c>
      <c r="N54" s="32"/>
      <c r="O54" s="32"/>
      <c r="P54" s="32"/>
      <c r="Q54" s="32"/>
      <c r="R54" s="32"/>
      <c r="S54" s="270">
        <v>0.25</v>
      </c>
      <c r="T54" s="30">
        <f>ROUND((L54*I52+1.3*L54*K52+S54*H52),4)</f>
        <v>3002.4014999999999</v>
      </c>
      <c r="U54" s="30">
        <f>ROUND((M54*0.9*I52+1.3*M54*0.9*K52+S54*H52),4)</f>
        <v>3336.2876000000001</v>
      </c>
      <c r="V54" s="30">
        <f>ROUND((M54*I52+1.3*M54*K52+S54*H52),4)</f>
        <v>3705.3195000000001</v>
      </c>
      <c r="W54" s="30">
        <f>ROUND((L54*J52+1.3*L54*N52+S54*G52),4)</f>
        <v>15.27</v>
      </c>
      <c r="X54" s="30">
        <f>ROUND((M54*0.9*J52+1.3*M54*0.9*N52+S54*G52),4)</f>
        <v>16.809000000000001</v>
      </c>
      <c r="Y54" s="30">
        <f>ROUND((M54*J52+1.3*M54*N52+S54*G52),4)</f>
        <v>18.510000000000002</v>
      </c>
      <c r="Z54" s="257">
        <f>ROUND((P52*T54*F52*O52/1000000),4)</f>
        <v>0.54039999999999999</v>
      </c>
      <c r="AA54" s="257">
        <f>ROUND((Q52*U54*F52*O52/1000000),4)</f>
        <v>0.20019999999999999</v>
      </c>
      <c r="AB54" s="257">
        <f>ROUND((R52*V54*F52*O52/1000000),4)</f>
        <v>0.11119999999999999</v>
      </c>
      <c r="AC54" s="258" t="s">
        <v>547</v>
      </c>
      <c r="AD54" s="259" t="s">
        <v>169</v>
      </c>
      <c r="AE54" s="34">
        <f>ROUND((((X54*E52)/1800)),4)</f>
        <v>9.2999999999999992E-3</v>
      </c>
      <c r="AF54" s="34">
        <f>ROUND(((Z54+AA54+AB54)),5)</f>
        <v>0.8518</v>
      </c>
      <c r="AG54" s="254"/>
      <c r="AH54" s="254"/>
    </row>
    <row r="55" spans="1:34" s="61" customFormat="1" ht="15" customHeight="1" x14ac:dyDescent="0.25">
      <c r="A55" s="260"/>
      <c r="B55" s="261"/>
      <c r="C55" s="32"/>
      <c r="D55" s="32"/>
      <c r="E55" s="32"/>
      <c r="F55" s="32"/>
      <c r="G55" s="32"/>
      <c r="H55" s="32"/>
      <c r="I55" s="32"/>
      <c r="J55" s="32"/>
      <c r="K55" s="32"/>
      <c r="L55" s="34">
        <v>1.1399999999999999</v>
      </c>
      <c r="M55" s="34">
        <v>1.37</v>
      </c>
      <c r="N55" s="32"/>
      <c r="O55" s="32"/>
      <c r="P55" s="32"/>
      <c r="Q55" s="32"/>
      <c r="R55" s="32"/>
      <c r="S55" s="271">
        <v>0.79</v>
      </c>
      <c r="T55" s="30">
        <f>ROUND((L55*I52+1.3*L55*K52+S55*H52),4)</f>
        <v>6725.1210000000001</v>
      </c>
      <c r="U55" s="30">
        <f>ROUND((M55*0.9*I52+1.3*M55*0.9*K52+S55*H52),4)</f>
        <v>7269.8824999999997</v>
      </c>
      <c r="V55" s="30">
        <f>ROUND((M55*I52+1.3*M55*K52+S55*H52),4)</f>
        <v>8072.3805000000002</v>
      </c>
      <c r="W55" s="30">
        <f>ROUND((L55*J52+1.3*L55*N52+S55*G52),4)</f>
        <v>35.520000000000003</v>
      </c>
      <c r="X55" s="30">
        <f>ROUND((M55*0.9*J52+1.3*M55*0.9*N52+S55*G52),4)</f>
        <v>38.030999999999999</v>
      </c>
      <c r="Y55" s="30">
        <f>ROUND((M55*J52+1.3*N52+S55*G52),4)</f>
        <v>36.92</v>
      </c>
      <c r="Z55" s="257">
        <f>ROUND((P52*T55*F52*O52/1000000),4)</f>
        <v>1.2104999999999999</v>
      </c>
      <c r="AA55" s="257">
        <f>ROUND((Q52*U55*F52*O52/1000000),4)</f>
        <v>0.43619999999999998</v>
      </c>
      <c r="AB55" s="257">
        <f>ROUND((R52*V55*F52*O52/1000000),4)</f>
        <v>0.2422</v>
      </c>
      <c r="AC55" s="258" t="s">
        <v>548</v>
      </c>
      <c r="AD55" s="259" t="s">
        <v>549</v>
      </c>
      <c r="AE55" s="34">
        <f>ROUND((((X55*E52)/1800)),4)</f>
        <v>2.1100000000000001E-2</v>
      </c>
      <c r="AF55" s="34">
        <f>ROUND(((Z55+AA55+AB55)),4)</f>
        <v>1.8889</v>
      </c>
      <c r="AG55" s="254"/>
      <c r="AH55" s="254"/>
    </row>
    <row r="56" spans="1:34" s="61" customFormat="1" ht="15" customHeight="1" x14ac:dyDescent="0.25">
      <c r="A56" s="260"/>
      <c r="B56" s="261"/>
      <c r="C56" s="32"/>
      <c r="D56" s="32"/>
      <c r="E56" s="32"/>
      <c r="F56" s="32"/>
      <c r="G56" s="32"/>
      <c r="H56" s="32"/>
      <c r="I56" s="32"/>
      <c r="J56" s="32"/>
      <c r="K56" s="32"/>
      <c r="L56" s="34">
        <v>0.72</v>
      </c>
      <c r="M56" s="34">
        <v>1.08</v>
      </c>
      <c r="N56" s="32"/>
      <c r="O56" s="32"/>
      <c r="P56" s="32"/>
      <c r="Q56" s="32"/>
      <c r="R56" s="32"/>
      <c r="S56" s="271">
        <v>0.17</v>
      </c>
      <c r="T56" s="30">
        <f>ROUND((L56*I52+1.3*L56*K52+S56*H52),4)</f>
        <v>4227.7079999999996</v>
      </c>
      <c r="U56" s="30">
        <f>ROUND((M56*0.9*I52+1.3*M56*0.9*K52+S56*H52),4)</f>
        <v>5703.8357999999998</v>
      </c>
      <c r="V56" s="30">
        <f>ROUND((M56*I52+1.3*M56*K52+S56*H52),4)</f>
        <v>6336.4620000000004</v>
      </c>
      <c r="W56" s="30">
        <f>ROUND((L56*J52+1.3*L56*N52+S56*G52),4)</f>
        <v>20.46</v>
      </c>
      <c r="X56" s="30">
        <f>ROUND((M56*0.9*J52+1.3*M56*0.9*N52+S56*G52),4)</f>
        <v>27.263999999999999</v>
      </c>
      <c r="Y56" s="30">
        <f>ROUND((M56*J52+1.3*M56*N52+S56*G52),4)</f>
        <v>30.18</v>
      </c>
      <c r="Z56" s="257">
        <f>ROUND((P52*T56*F52*O52/1000000),4)</f>
        <v>0.76100000000000001</v>
      </c>
      <c r="AA56" s="257">
        <f>ROUND((Q52*U56*F52*O52/1000000),4)</f>
        <v>0.3422</v>
      </c>
      <c r="AB56" s="257">
        <f>ROUND((R52*V56*F52*O52/1000000),4)</f>
        <v>0.19009999999999999</v>
      </c>
      <c r="AC56" s="258" t="s">
        <v>172</v>
      </c>
      <c r="AD56" s="259" t="s">
        <v>173</v>
      </c>
      <c r="AE56" s="34">
        <f>ROUND((((X56*E52)/1800)),4)</f>
        <v>1.5100000000000001E-2</v>
      </c>
      <c r="AF56" s="34">
        <f>ROUND(((Z56+AA56+AB56)),4)</f>
        <v>1.2932999999999999</v>
      </c>
      <c r="AG56" s="254"/>
      <c r="AH56" s="254"/>
    </row>
    <row r="57" spans="1:34" s="61" customFormat="1" ht="15" customHeight="1" x14ac:dyDescent="0.25">
      <c r="A57" s="260"/>
      <c r="B57" s="272"/>
      <c r="C57" s="265"/>
      <c r="D57" s="265"/>
      <c r="E57" s="265"/>
      <c r="F57" s="265"/>
      <c r="G57" s="265"/>
      <c r="H57" s="265"/>
      <c r="I57" s="265"/>
      <c r="J57" s="265"/>
      <c r="K57" s="265"/>
      <c r="L57" s="34">
        <v>3.37</v>
      </c>
      <c r="M57" s="34">
        <v>4.1100000000000003</v>
      </c>
      <c r="N57" s="265"/>
      <c r="O57" s="265"/>
      <c r="P57" s="265"/>
      <c r="Q57" s="265"/>
      <c r="R57" s="265"/>
      <c r="S57" s="271">
        <v>6.31</v>
      </c>
      <c r="T57" s="30">
        <f>ROUND((L57*I52+1.3*L57*K52+S57*H52),4)</f>
        <v>20118.880499999999</v>
      </c>
      <c r="U57" s="30">
        <f>ROUND((M57*0.9*I52+1.3*M57*0.9*K52+S57*H52),4)</f>
        <v>22046.047399999999</v>
      </c>
      <c r="V57" s="30">
        <f>ROUND((M57*I52+1.3*M57*K52+S57*H52),4)</f>
        <v>24453.541499999999</v>
      </c>
      <c r="W57" s="30">
        <f>ROUND((L57*J52+1.3*L57*N52+S57*G52),4)</f>
        <v>128.85</v>
      </c>
      <c r="X57" s="30">
        <f>ROUND((M57*0.9*J52+1.3*M57*0.9*N52+S57*G52),4)</f>
        <v>137.733</v>
      </c>
      <c r="Y57" s="30">
        <f>ROUND((M57*J52+1.3*M57*N52+S57*G52),4)</f>
        <v>148.83000000000001</v>
      </c>
      <c r="Z57" s="257">
        <f>ROUND((P52*T57*F52*O52/1000000),4)</f>
        <v>3.6214</v>
      </c>
      <c r="AA57" s="257">
        <f>ROUND((Q52*U57*F52*O52/1000000),4)</f>
        <v>1.3228</v>
      </c>
      <c r="AB57" s="257">
        <f>ROUND((R52*V57*F52*O52/1000000),4)</f>
        <v>0.73360000000000003</v>
      </c>
      <c r="AC57" s="258" t="s">
        <v>157</v>
      </c>
      <c r="AD57" s="259" t="s">
        <v>153</v>
      </c>
      <c r="AE57" s="34">
        <f>ROUND((((X57*E52)/1800)),4)</f>
        <v>7.6499999999999999E-2</v>
      </c>
      <c r="AF57" s="34">
        <f>ROUND(((Z57+AA57+AB57)),4)</f>
        <v>5.6778000000000004</v>
      </c>
      <c r="AG57" s="254"/>
      <c r="AH57" s="254"/>
    </row>
    <row r="58" spans="1:34" s="61" customFormat="1" ht="15" customHeight="1" x14ac:dyDescent="0.25">
      <c r="A58" s="260"/>
      <c r="B58" s="273" t="s">
        <v>558</v>
      </c>
      <c r="C58" s="30">
        <v>6</v>
      </c>
      <c r="D58" s="30" t="s">
        <v>556</v>
      </c>
      <c r="E58" s="30">
        <v>1</v>
      </c>
      <c r="F58" s="30">
        <v>18</v>
      </c>
      <c r="G58" s="30">
        <v>6</v>
      </c>
      <c r="H58" s="30">
        <v>60</v>
      </c>
      <c r="I58" s="30">
        <f>(8-1-0.75*2)*60*F58-K58-8*0.12*60</f>
        <v>2021.4</v>
      </c>
      <c r="J58" s="30">
        <v>14</v>
      </c>
      <c r="K58" s="30">
        <f>(8-1-0.75*2)*0.65*60*F58</f>
        <v>3861</v>
      </c>
      <c r="L58" s="30">
        <v>6.47</v>
      </c>
      <c r="M58" s="30">
        <v>6.47</v>
      </c>
      <c r="N58" s="30">
        <v>10</v>
      </c>
      <c r="O58" s="30">
        <f>E58/F58</f>
        <v>5.5555555555555552E-2</v>
      </c>
      <c r="P58" s="30">
        <v>180</v>
      </c>
      <c r="Q58" s="30">
        <v>60</v>
      </c>
      <c r="R58" s="256">
        <v>30</v>
      </c>
      <c r="S58" s="256">
        <v>1.27</v>
      </c>
      <c r="T58" s="30">
        <f>ROUND((L58*I58+1.3*L58*K58+S58*H58),4)</f>
        <v>45629.529000000002</v>
      </c>
      <c r="U58" s="30">
        <f>ROUND((M58*I58+1.3*M58*K58+S58*H58),4)</f>
        <v>45629.529000000002</v>
      </c>
      <c r="V58" s="30">
        <f>ROUND((M58*I58+1.3*M58*K58+S58*H58),4)</f>
        <v>45629.529000000002</v>
      </c>
      <c r="W58" s="30">
        <f>ROUND((L58*J58+1.3*L58*N58+S58*G58),4)</f>
        <v>182.31</v>
      </c>
      <c r="X58" s="30">
        <f>ROUND((M58*J58+1.3*M58*N58+S58*G58),4)</f>
        <v>182.31</v>
      </c>
      <c r="Y58" s="30">
        <f>ROUND((M58*J58+1.3*M58*N58+S58*G58),4)</f>
        <v>182.31</v>
      </c>
      <c r="Z58" s="257">
        <f>ROUND((P58*T58*F58*O58/1000000),4)</f>
        <v>8.2133000000000003</v>
      </c>
      <c r="AA58" s="257">
        <f>ROUND((Q58*U58*F58*O58/1000000),4)</f>
        <v>2.7378</v>
      </c>
      <c r="AB58" s="257">
        <f>ROUND((R58*V58*F58*O58/1000000),4)</f>
        <v>1.3689</v>
      </c>
      <c r="AC58" s="258" t="s">
        <v>165</v>
      </c>
      <c r="AD58" s="259" t="s">
        <v>144</v>
      </c>
      <c r="AE58" s="34">
        <f>ROUND((((X58*E58)/1800)*0.8),4)</f>
        <v>8.1000000000000003E-2</v>
      </c>
      <c r="AF58" s="34">
        <f>ROUND(((Z58+AA58+AB58)*0.8),4)</f>
        <v>9.8559999999999999</v>
      </c>
      <c r="AG58" s="254"/>
      <c r="AH58" s="254"/>
    </row>
    <row r="59" spans="1:34" s="61" customFormat="1" ht="15" customHeight="1" x14ac:dyDescent="0.25">
      <c r="A59" s="260"/>
      <c r="B59" s="261" t="s">
        <v>559</v>
      </c>
      <c r="C59" s="32"/>
      <c r="D59" s="32"/>
      <c r="E59" s="32"/>
      <c r="F59" s="32"/>
      <c r="G59" s="32"/>
      <c r="H59" s="32"/>
      <c r="I59" s="32"/>
      <c r="J59" s="32"/>
      <c r="K59" s="32"/>
      <c r="L59" s="265"/>
      <c r="M59" s="265"/>
      <c r="N59" s="32"/>
      <c r="O59" s="32"/>
      <c r="P59" s="32"/>
      <c r="Q59" s="32"/>
      <c r="R59" s="32"/>
      <c r="S59" s="268"/>
      <c r="T59" s="32"/>
      <c r="U59" s="32"/>
      <c r="V59" s="32"/>
      <c r="W59" s="32"/>
      <c r="X59" s="32"/>
      <c r="Y59" s="32"/>
      <c r="Z59" s="32"/>
      <c r="AA59" s="32"/>
      <c r="AB59" s="32"/>
      <c r="AC59" s="258" t="s">
        <v>166</v>
      </c>
      <c r="AD59" s="259" t="s">
        <v>167</v>
      </c>
      <c r="AE59" s="34">
        <f>ROUND((((X58*E58)/1800)*0.13),4)</f>
        <v>1.32E-2</v>
      </c>
      <c r="AF59" s="34">
        <f>ROUND(((Z58+AA58+AB58)*0.13),4)</f>
        <v>1.6015999999999999</v>
      </c>
      <c r="AG59" s="254"/>
      <c r="AH59" s="254"/>
    </row>
    <row r="60" spans="1:34" s="61" customFormat="1" ht="15" customHeight="1" x14ac:dyDescent="0.25">
      <c r="A60" s="260"/>
      <c r="C60" s="263"/>
      <c r="D60" s="263"/>
      <c r="E60" s="32"/>
      <c r="F60" s="32"/>
      <c r="G60" s="32"/>
      <c r="H60" s="32"/>
      <c r="I60" s="32"/>
      <c r="J60" s="32"/>
      <c r="K60" s="32"/>
      <c r="L60" s="34">
        <v>0.51</v>
      </c>
      <c r="M60" s="34">
        <v>0.63</v>
      </c>
      <c r="N60" s="32"/>
      <c r="O60" s="32"/>
      <c r="P60" s="32"/>
      <c r="Q60" s="32"/>
      <c r="R60" s="32"/>
      <c r="S60" s="270">
        <v>0.25</v>
      </c>
      <c r="T60" s="30">
        <f>ROUND((L60*I58+1.3*L60*K58+S60*H58),4)</f>
        <v>3605.7570000000001</v>
      </c>
      <c r="U60" s="30">
        <f>ROUND((M60*0.9*I58+1.3*M60*0.9*K58+S60*H58),4)</f>
        <v>4007.0769</v>
      </c>
      <c r="V60" s="30">
        <f>ROUND((M60*I58+1.3*M60*K58+S60*H58),4)</f>
        <v>4450.6409999999996</v>
      </c>
      <c r="W60" s="30">
        <f>ROUND((L60*J58+1.3*L60*N58+S60*G58),4)</f>
        <v>15.27</v>
      </c>
      <c r="X60" s="30">
        <f>ROUND((M60*0.9*J58+1.3*M60*0.9*N58+S60*G58),4)</f>
        <v>16.809000000000001</v>
      </c>
      <c r="Y60" s="30">
        <f>ROUND((M60*J58+1.3*M60*N58+S60*G58),4)</f>
        <v>18.510000000000002</v>
      </c>
      <c r="Z60" s="257">
        <f>ROUND((P58*T60*F58*O58/1000000),4)</f>
        <v>0.64900000000000002</v>
      </c>
      <c r="AA60" s="257">
        <f>ROUND((Q58*U60*F58*O58/1000000),4)</f>
        <v>0.2404</v>
      </c>
      <c r="AB60" s="257">
        <f>ROUND((R58*V60*F58*O58/1000000),4)</f>
        <v>0.13350000000000001</v>
      </c>
      <c r="AC60" s="258" t="s">
        <v>547</v>
      </c>
      <c r="AD60" s="259" t="s">
        <v>169</v>
      </c>
      <c r="AE60" s="34">
        <f>ROUND((((X60*E58)/1800)),4)</f>
        <v>9.2999999999999992E-3</v>
      </c>
      <c r="AF60" s="34">
        <f>ROUND(((Z60+AA60+AB60)),5)</f>
        <v>1.0228999999999999</v>
      </c>
      <c r="AG60" s="254"/>
      <c r="AH60" s="254"/>
    </row>
    <row r="61" spans="1:34" s="61" customFormat="1" ht="15" customHeight="1" x14ac:dyDescent="0.25">
      <c r="A61" s="260"/>
      <c r="C61" s="32"/>
      <c r="D61" s="32"/>
      <c r="E61" s="32"/>
      <c r="F61" s="32"/>
      <c r="G61" s="32"/>
      <c r="H61" s="32"/>
      <c r="I61" s="32"/>
      <c r="J61" s="32"/>
      <c r="K61" s="32"/>
      <c r="L61" s="34">
        <v>1.1399999999999999</v>
      </c>
      <c r="M61" s="34">
        <v>1.37</v>
      </c>
      <c r="N61" s="32"/>
      <c r="O61" s="32"/>
      <c r="P61" s="32"/>
      <c r="Q61" s="32"/>
      <c r="R61" s="32"/>
      <c r="S61" s="271">
        <v>0.79</v>
      </c>
      <c r="T61" s="30">
        <f>ROUND((L61*I58+1.3*L61*K58+S61*H58),4)</f>
        <v>8073.7979999999998</v>
      </c>
      <c r="U61" s="30">
        <f>ROUND((M61*0.9*I58+1.3*M61*0.9*K58+S61*H58),4)</f>
        <v>8728.5830999999998</v>
      </c>
      <c r="V61" s="30">
        <f>ROUND((M61*I58+1.3*M61*K58+S61*H58),4)</f>
        <v>9693.1589999999997</v>
      </c>
      <c r="W61" s="30">
        <f>ROUND((L61*J58+1.3*L61*N58+S61*G58),4)</f>
        <v>35.520000000000003</v>
      </c>
      <c r="X61" s="30">
        <f>ROUND((M61*0.9*J58+1.3*M61*0.9*N58+S61*G58),4)</f>
        <v>38.030999999999999</v>
      </c>
      <c r="Y61" s="30">
        <f>ROUND((M61*J58+1.3*N58+S61*G58),4)</f>
        <v>36.92</v>
      </c>
      <c r="Z61" s="257">
        <f>ROUND((P58*T61*F58*O58/1000000),4)</f>
        <v>1.4533</v>
      </c>
      <c r="AA61" s="257">
        <f>ROUND((Q58*U61*F58*O58/1000000),4)</f>
        <v>0.52370000000000005</v>
      </c>
      <c r="AB61" s="257">
        <f>ROUND((R58*V61*F58*O58/1000000),4)</f>
        <v>0.2908</v>
      </c>
      <c r="AC61" s="258" t="s">
        <v>548</v>
      </c>
      <c r="AD61" s="259" t="s">
        <v>549</v>
      </c>
      <c r="AE61" s="34">
        <f>ROUND((((X61*E58)/1800)),4)</f>
        <v>2.1100000000000001E-2</v>
      </c>
      <c r="AF61" s="34">
        <f>ROUND(((Z61+AA61+AB61)),4)</f>
        <v>2.2677999999999998</v>
      </c>
      <c r="AG61" s="254"/>
      <c r="AH61" s="254"/>
    </row>
    <row r="62" spans="1:34" s="61" customFormat="1" ht="15" customHeight="1" x14ac:dyDescent="0.25">
      <c r="A62" s="260"/>
      <c r="B62" s="261"/>
      <c r="C62" s="32"/>
      <c r="D62" s="32"/>
      <c r="E62" s="32"/>
      <c r="F62" s="32"/>
      <c r="G62" s="32"/>
      <c r="H62" s="32"/>
      <c r="I62" s="32"/>
      <c r="J62" s="32"/>
      <c r="K62" s="32"/>
      <c r="L62" s="34">
        <v>0.72</v>
      </c>
      <c r="M62" s="34">
        <v>1.08</v>
      </c>
      <c r="N62" s="32"/>
      <c r="O62" s="32"/>
      <c r="P62" s="32"/>
      <c r="Q62" s="32"/>
      <c r="R62" s="32"/>
      <c r="S62" s="271">
        <v>0.17</v>
      </c>
      <c r="T62" s="30">
        <f>ROUND((L62*I58+1.3*L62*K58+S62*H58),4)</f>
        <v>5079.5039999999999</v>
      </c>
      <c r="U62" s="30">
        <f>ROUND((M62*0.9*I58+1.3*M62*0.9*K58+S62*H58),4)</f>
        <v>6853.7604000000001</v>
      </c>
      <c r="V62" s="30">
        <f>ROUND((M62*I58+1.3*M62*K58+S62*H58),4)</f>
        <v>7614.1559999999999</v>
      </c>
      <c r="W62" s="30">
        <f>ROUND((L62*J58+1.3*L62*N58+S62*G58),4)</f>
        <v>20.46</v>
      </c>
      <c r="X62" s="30">
        <f>ROUND((M62*0.9*J58+1.3*M62*0.9*N58+S62*G58),4)</f>
        <v>27.263999999999999</v>
      </c>
      <c r="Y62" s="30">
        <f>ROUND((M62*J58+1.3*M62*N58+S62*G58),4)</f>
        <v>30.18</v>
      </c>
      <c r="Z62" s="257">
        <f>ROUND((P58*T62*F58*O58/1000000),4)</f>
        <v>0.9143</v>
      </c>
      <c r="AA62" s="257">
        <f>ROUND((Q58*U62*F58*O58/1000000),4)</f>
        <v>0.41120000000000001</v>
      </c>
      <c r="AB62" s="257">
        <f>ROUND((R58*V62*F58*O58/1000000),4)</f>
        <v>0.22839999999999999</v>
      </c>
      <c r="AC62" s="258" t="s">
        <v>172</v>
      </c>
      <c r="AD62" s="259" t="s">
        <v>173</v>
      </c>
      <c r="AE62" s="34">
        <f>ROUND((((X62*E58)/1800)),4)</f>
        <v>1.5100000000000001E-2</v>
      </c>
      <c r="AF62" s="34">
        <f>ROUND(((Z62+AA62+AB62)),4)</f>
        <v>1.5539000000000001</v>
      </c>
      <c r="AG62" s="254"/>
      <c r="AH62" s="254"/>
    </row>
    <row r="63" spans="1:34" s="61" customFormat="1" ht="15" customHeight="1" x14ac:dyDescent="0.25">
      <c r="A63" s="260"/>
      <c r="B63" s="272"/>
      <c r="C63" s="265"/>
      <c r="D63" s="265"/>
      <c r="E63" s="265"/>
      <c r="F63" s="265"/>
      <c r="G63" s="265"/>
      <c r="H63" s="265"/>
      <c r="I63" s="265"/>
      <c r="J63" s="265"/>
      <c r="K63" s="265"/>
      <c r="L63" s="34">
        <v>3.37</v>
      </c>
      <c r="M63" s="34">
        <v>4.1100000000000003</v>
      </c>
      <c r="N63" s="265"/>
      <c r="O63" s="265"/>
      <c r="P63" s="265"/>
      <c r="Q63" s="265"/>
      <c r="R63" s="265"/>
      <c r="S63" s="271">
        <v>6.31</v>
      </c>
      <c r="T63" s="30">
        <f>ROUND((L63*I58+1.3*L63*K58+S63*H58),4)</f>
        <v>24105.758999999998</v>
      </c>
      <c r="U63" s="30">
        <f>ROUND((M63*0.9*I58+1.3*M63*0.9*K58+S63*H58),4)</f>
        <v>26422.149300000001</v>
      </c>
      <c r="V63" s="30">
        <f>ROUND((M63*I58+1.3*M63*K58+S63*H58),4)</f>
        <v>29315.877</v>
      </c>
      <c r="W63" s="30">
        <f>ROUND((L63*J58+1.3*L63*N58+S63*G58),4)</f>
        <v>128.85</v>
      </c>
      <c r="X63" s="30">
        <f>ROUND((M63*0.9*J58+1.3*M63*0.9*N58+S63*G58),4)</f>
        <v>137.733</v>
      </c>
      <c r="Y63" s="30">
        <f>ROUND((M63*J58+1.3*M63*N58+S63*G58),4)</f>
        <v>148.83000000000001</v>
      </c>
      <c r="Z63" s="257">
        <f>ROUND((P58*T63*F58*O58/1000000),4)</f>
        <v>4.3390000000000004</v>
      </c>
      <c r="AA63" s="257">
        <f>ROUND((Q58*U63*F58*O58/1000000),4)</f>
        <v>1.5852999999999999</v>
      </c>
      <c r="AB63" s="257">
        <f>ROUND((R58*V63*F58*O58/1000000),4)</f>
        <v>0.87949999999999995</v>
      </c>
      <c r="AC63" s="258" t="s">
        <v>157</v>
      </c>
      <c r="AD63" s="259" t="s">
        <v>153</v>
      </c>
      <c r="AE63" s="34">
        <f>ROUND((((X63*E58)/1800)),4)</f>
        <v>7.6499999999999999E-2</v>
      </c>
      <c r="AF63" s="34">
        <f>ROUND(((Z63+AA63+AB63)),4)</f>
        <v>6.8037999999999998</v>
      </c>
      <c r="AG63" s="254"/>
      <c r="AH63" s="254"/>
    </row>
    <row r="64" spans="1:34" s="61" customFormat="1" ht="15" customHeight="1" x14ac:dyDescent="0.25">
      <c r="A64" s="260"/>
      <c r="B64" s="273" t="s">
        <v>558</v>
      </c>
      <c r="C64" s="255">
        <v>7</v>
      </c>
      <c r="D64" s="30" t="s">
        <v>560</v>
      </c>
      <c r="E64" s="30">
        <v>1</v>
      </c>
      <c r="F64" s="30">
        <v>15</v>
      </c>
      <c r="G64" s="30">
        <v>6</v>
      </c>
      <c r="H64" s="30">
        <v>60</v>
      </c>
      <c r="I64" s="30">
        <f>(8-1-0.75*2)*60*F64-K64-8*0.12*60</f>
        <v>1674.9</v>
      </c>
      <c r="J64" s="30">
        <v>14</v>
      </c>
      <c r="K64" s="30">
        <f>(8-1-0.75*2)*0.65*60*F64</f>
        <v>3217.5</v>
      </c>
      <c r="L64" s="30">
        <v>10.16</v>
      </c>
      <c r="M64" s="30">
        <v>10.16</v>
      </c>
      <c r="N64" s="30">
        <v>10</v>
      </c>
      <c r="O64" s="30">
        <f>E64/F64</f>
        <v>6.6666666666666666E-2</v>
      </c>
      <c r="P64" s="30">
        <v>180</v>
      </c>
      <c r="Q64" s="30">
        <v>60</v>
      </c>
      <c r="R64" s="256">
        <v>30</v>
      </c>
      <c r="S64" s="256">
        <v>1.99</v>
      </c>
      <c r="T64" s="30">
        <f>ROUND((L64*I64+1.3*L64*K64+S64*H64),4)</f>
        <v>59633.124000000003</v>
      </c>
      <c r="U64" s="30">
        <f>ROUND((M64*I64+1.3*M64*K64+S64*H64),4)</f>
        <v>59633.124000000003</v>
      </c>
      <c r="V64" s="30">
        <f>ROUND((M64*I64+1.3*M64*K64+S64*H64),4)</f>
        <v>59633.124000000003</v>
      </c>
      <c r="W64" s="30">
        <f>ROUND((L64*J64+1.3*L64*N64+S64*G64),4)</f>
        <v>286.26</v>
      </c>
      <c r="X64" s="30">
        <f>ROUND((M64*J64+1.3*M64*N64+S64*G64),4)</f>
        <v>286.26</v>
      </c>
      <c r="Y64" s="30">
        <f>ROUND((M64*J64+1.3*M64*N64+S64*G64),4)</f>
        <v>286.26</v>
      </c>
      <c r="Z64" s="257">
        <f>ROUND((P64*T64*F64*O64/1000000),4)</f>
        <v>10.734</v>
      </c>
      <c r="AA64" s="257">
        <f>ROUND((Q64*U64*F64*O64/1000000),4)</f>
        <v>3.5779999999999998</v>
      </c>
      <c r="AB64" s="257">
        <f>ROUND((R64*V64*F64*O64/1000000),4)</f>
        <v>1.7889999999999999</v>
      </c>
      <c r="AC64" s="258" t="s">
        <v>165</v>
      </c>
      <c r="AD64" s="259" t="s">
        <v>144</v>
      </c>
      <c r="AE64" s="34">
        <f>ROUND((((X64*E64)/1800)*0.8),4)</f>
        <v>0.12720000000000001</v>
      </c>
      <c r="AF64" s="34">
        <f>ROUND(((Z64+AA64+AB64)*0.8),4)</f>
        <v>12.880800000000001</v>
      </c>
      <c r="AG64" s="254"/>
      <c r="AH64" s="254"/>
    </row>
    <row r="65" spans="1:34" s="61" customFormat="1" ht="15" customHeight="1" x14ac:dyDescent="0.25">
      <c r="A65" s="260"/>
      <c r="B65" s="261" t="s">
        <v>561</v>
      </c>
      <c r="C65" s="32"/>
      <c r="D65" s="32"/>
      <c r="E65" s="32"/>
      <c r="F65" s="32"/>
      <c r="G65" s="32"/>
      <c r="H65" s="32"/>
      <c r="I65" s="32"/>
      <c r="J65" s="32"/>
      <c r="K65" s="32"/>
      <c r="L65" s="265"/>
      <c r="M65" s="265"/>
      <c r="N65" s="32"/>
      <c r="O65" s="32"/>
      <c r="P65" s="32"/>
      <c r="Q65" s="32"/>
      <c r="R65" s="32"/>
      <c r="S65" s="268"/>
      <c r="T65" s="32"/>
      <c r="U65" s="32"/>
      <c r="V65" s="32"/>
      <c r="W65" s="32"/>
      <c r="X65" s="32"/>
      <c r="Y65" s="32"/>
      <c r="Z65" s="32"/>
      <c r="AA65" s="32"/>
      <c r="AB65" s="32"/>
      <c r="AC65" s="258" t="s">
        <v>166</v>
      </c>
      <c r="AD65" s="259" t="s">
        <v>167</v>
      </c>
      <c r="AE65" s="34">
        <f>ROUND((((X64*E64)/1800)*0.13),4)</f>
        <v>2.07E-2</v>
      </c>
      <c r="AF65" s="34">
        <f>ROUND(((Z64+AA64+AB64)*0.13),4)</f>
        <v>2.0931000000000002</v>
      </c>
      <c r="AG65" s="254"/>
      <c r="AH65" s="254"/>
    </row>
    <row r="66" spans="1:34" s="61" customFormat="1" ht="15" customHeight="1" x14ac:dyDescent="0.25">
      <c r="A66" s="260"/>
      <c r="C66" s="263"/>
      <c r="D66" s="263"/>
      <c r="E66" s="32"/>
      <c r="F66" s="32"/>
      <c r="G66" s="32"/>
      <c r="H66" s="32"/>
      <c r="I66" s="32"/>
      <c r="J66" s="32"/>
      <c r="K66" s="32"/>
      <c r="L66" s="34">
        <v>0.8</v>
      </c>
      <c r="M66" s="34">
        <v>0.98</v>
      </c>
      <c r="N66" s="32"/>
      <c r="O66" s="32"/>
      <c r="P66" s="32"/>
      <c r="Q66" s="32"/>
      <c r="R66" s="32"/>
      <c r="S66" s="270">
        <v>0.39</v>
      </c>
      <c r="T66" s="30">
        <f>ROUND((L66*I64+1.3*L66*K64+S66*H64),4)</f>
        <v>4709.5200000000004</v>
      </c>
      <c r="U66" s="30">
        <f>ROUND((M66*0.9*I64+1.3*M66*0.9*K64+S66*H64),4)</f>
        <v>5189.8473000000004</v>
      </c>
      <c r="V66" s="30">
        <f>ROUND((M66*I64+1.3*M66*K64+S66*H64),4)</f>
        <v>5763.8969999999999</v>
      </c>
      <c r="W66" s="30">
        <f>ROUND((L66*J64+1.3*L66*N64+S66*G64),4)</f>
        <v>23.94</v>
      </c>
      <c r="X66" s="30">
        <f>ROUND((M66*0.9*J64+1.3*M66*0.9*N64+S66*G64),4)</f>
        <v>26.154</v>
      </c>
      <c r="Y66" s="30">
        <f>ROUND((M66*J64+1.3*M66*N64+S66*G64),4)</f>
        <v>28.8</v>
      </c>
      <c r="Z66" s="257">
        <f>ROUND((P64*T66*F64*O64/1000000),4)</f>
        <v>0.84770000000000001</v>
      </c>
      <c r="AA66" s="257">
        <f>ROUND((Q64*U66*F64*O64/1000000),4)</f>
        <v>0.31140000000000001</v>
      </c>
      <c r="AB66" s="257">
        <f>ROUND((R64*V66*F64*O64/1000000),4)</f>
        <v>0.1729</v>
      </c>
      <c r="AC66" s="258" t="s">
        <v>547</v>
      </c>
      <c r="AD66" s="259" t="s">
        <v>169</v>
      </c>
      <c r="AE66" s="34">
        <f>ROUND((((X66*E64)/1800)),4)</f>
        <v>1.4500000000000001E-2</v>
      </c>
      <c r="AF66" s="34">
        <f>ROUND(((Z66+AA66+AB66)),5)</f>
        <v>1.3320000000000001</v>
      </c>
      <c r="AG66" s="254"/>
      <c r="AH66" s="254"/>
    </row>
    <row r="67" spans="1:34" s="61" customFormat="1" ht="15" customHeight="1" x14ac:dyDescent="0.25">
      <c r="A67" s="260"/>
      <c r="C67" s="32"/>
      <c r="D67" s="32"/>
      <c r="E67" s="32"/>
      <c r="F67" s="32"/>
      <c r="G67" s="32"/>
      <c r="H67" s="32"/>
      <c r="I67" s="32"/>
      <c r="J67" s="32"/>
      <c r="K67" s="32"/>
      <c r="L67" s="34">
        <v>1.79</v>
      </c>
      <c r="M67" s="34">
        <v>2.15</v>
      </c>
      <c r="N67" s="32"/>
      <c r="O67" s="32"/>
      <c r="P67" s="32"/>
      <c r="Q67" s="32"/>
      <c r="R67" s="32"/>
      <c r="S67" s="271">
        <v>1.24</v>
      </c>
      <c r="T67" s="30">
        <f>ROUND((L67*I64+1.3*L67*K64+S67*H64),4)</f>
        <v>10559.593500000001</v>
      </c>
      <c r="U67" s="30">
        <f>ROUND((M67*0.9*I64+1.3*M67*0.9*K64+S67*H64),4)</f>
        <v>11408.952799999999</v>
      </c>
      <c r="V67" s="30">
        <f>ROUND((M67*I64+1.3*M67*K64+S67*H64),4)</f>
        <v>12668.3475</v>
      </c>
      <c r="W67" s="30">
        <f>ROUND((L67*J64+1.3*L67*N64+S67*G64),4)</f>
        <v>55.77</v>
      </c>
      <c r="X67" s="30">
        <f>ROUND((M67*0.9*J64+1.3*M67*0.9*N64+S67*G64),4)</f>
        <v>59.685000000000002</v>
      </c>
      <c r="Y67" s="30">
        <f>ROUND((M67*J64+1.3*N64+S67*G64),4)</f>
        <v>50.54</v>
      </c>
      <c r="Z67" s="257">
        <f>ROUND((P64*T67*F64*O64/1000000),4)</f>
        <v>1.9007000000000001</v>
      </c>
      <c r="AA67" s="257">
        <f>ROUND((Q64*U67*F64*O64/1000000),4)</f>
        <v>0.6845</v>
      </c>
      <c r="AB67" s="257">
        <f>ROUND((R64*V67*F64*O64/1000000),4)</f>
        <v>0.38009999999999999</v>
      </c>
      <c r="AC67" s="258" t="s">
        <v>548</v>
      </c>
      <c r="AD67" s="259" t="s">
        <v>549</v>
      </c>
      <c r="AE67" s="34">
        <f>ROUND((((X67*E64)/1800)),4)</f>
        <v>3.32E-2</v>
      </c>
      <c r="AF67" s="34">
        <f>ROUND(((Z67+AA67+AB67)),4)</f>
        <v>2.9653</v>
      </c>
      <c r="AG67" s="254"/>
      <c r="AH67" s="254"/>
    </row>
    <row r="68" spans="1:34" s="61" customFormat="1" ht="15" customHeight="1" x14ac:dyDescent="0.25">
      <c r="A68" s="260"/>
      <c r="B68" s="261"/>
      <c r="C68" s="32"/>
      <c r="D68" s="32"/>
      <c r="E68" s="32"/>
      <c r="F68" s="32"/>
      <c r="G68" s="32"/>
      <c r="H68" s="32"/>
      <c r="I68" s="32"/>
      <c r="J68" s="32"/>
      <c r="K68" s="32"/>
      <c r="L68" s="34">
        <v>1.1299999999999999</v>
      </c>
      <c r="M68" s="34">
        <v>1.7</v>
      </c>
      <c r="N68" s="32"/>
      <c r="O68" s="32"/>
      <c r="P68" s="32"/>
      <c r="Q68" s="32"/>
      <c r="R68" s="32"/>
      <c r="S68" s="271">
        <v>0.26</v>
      </c>
      <c r="T68" s="30">
        <f>ROUND((L68*I64+1.3*L68*K64+S68*H64),4)</f>
        <v>6634.7444999999998</v>
      </c>
      <c r="U68" s="30">
        <f>ROUND((M68*0.9*I64+1.3*M68*0.9*K64+S68*H64),4)</f>
        <v>8977.8045000000002</v>
      </c>
      <c r="V68" s="30">
        <f>ROUND((M68*I64+1.3*M68*K64+S68*H64),4)</f>
        <v>9973.6049999999996</v>
      </c>
      <c r="W68" s="30">
        <f>ROUND((L68*J64+1.3*L68*N64+S68*G64),4)</f>
        <v>32.07</v>
      </c>
      <c r="X68" s="30">
        <f>ROUND((M68*0.9*J64+1.3*M68*0.9*N64+S68*G64),4)</f>
        <v>42.87</v>
      </c>
      <c r="Y68" s="30">
        <f>ROUND((M68*J64+1.3*M68*N64+S68*G64),4)</f>
        <v>47.46</v>
      </c>
      <c r="Z68" s="257">
        <f>ROUND((P64*T68*F64*O64/1000000),4)</f>
        <v>1.1942999999999999</v>
      </c>
      <c r="AA68" s="257">
        <f>ROUND((Q64*U68*F64*O64/1000000),4)</f>
        <v>0.53869999999999996</v>
      </c>
      <c r="AB68" s="257">
        <f>ROUND((R64*V68*F64*O64/1000000),4)</f>
        <v>0.29920000000000002</v>
      </c>
      <c r="AC68" s="258" t="s">
        <v>172</v>
      </c>
      <c r="AD68" s="259" t="s">
        <v>173</v>
      </c>
      <c r="AE68" s="34">
        <f>ROUND((((X68*E64)/1800)),4)</f>
        <v>2.3800000000000002E-2</v>
      </c>
      <c r="AF68" s="34">
        <f>ROUND(((Z68+AA68+AB68)),4)</f>
        <v>2.0322</v>
      </c>
      <c r="AG68" s="254"/>
      <c r="AH68" s="254"/>
    </row>
    <row r="69" spans="1:34" s="61" customFormat="1" ht="15" customHeight="1" x14ac:dyDescent="0.25">
      <c r="A69" s="260"/>
      <c r="B69" s="272"/>
      <c r="C69" s="265"/>
      <c r="D69" s="265"/>
      <c r="E69" s="265"/>
      <c r="F69" s="265"/>
      <c r="G69" s="265"/>
      <c r="H69" s="265"/>
      <c r="I69" s="265"/>
      <c r="J69" s="265"/>
      <c r="K69" s="265"/>
      <c r="L69" s="34">
        <v>5.3</v>
      </c>
      <c r="M69" s="34">
        <v>6.47</v>
      </c>
      <c r="N69" s="265"/>
      <c r="O69" s="265"/>
      <c r="P69" s="265"/>
      <c r="Q69" s="265"/>
      <c r="R69" s="265"/>
      <c r="S69" s="271">
        <v>9.92</v>
      </c>
      <c r="T69" s="30">
        <f>ROUND((L69*I64+1.3*L69*K64+S69*H64),4)</f>
        <v>31640.744999999999</v>
      </c>
      <c r="U69" s="30">
        <f>ROUND((M69*0.9*I64+1.3*M69*0.9*K64+S69*H64),4)</f>
        <v>34704.296000000002</v>
      </c>
      <c r="V69" s="30">
        <f>ROUND((M69*I64+1.3*M69*K64+S69*H64),4)</f>
        <v>38494.195500000002</v>
      </c>
      <c r="W69" s="30">
        <f>ROUND((L69*J64+1.3*L69*N64+S69*G64),4)</f>
        <v>202.62</v>
      </c>
      <c r="X69" s="30">
        <f>ROUND((M69*0.9*J64+1.3*M69*0.9*N64+S69*G64),4)</f>
        <v>216.74100000000001</v>
      </c>
      <c r="Y69" s="30">
        <f>ROUND((M69*J64+1.3*M69*N64+S69*G64),4)</f>
        <v>234.21</v>
      </c>
      <c r="Z69" s="257">
        <f>ROUND((P64*T69*F64*O64/1000000),4)</f>
        <v>5.6952999999999996</v>
      </c>
      <c r="AA69" s="257">
        <f>ROUND((Q64*U69*F64*O64/1000000),4)</f>
        <v>2.0823</v>
      </c>
      <c r="AB69" s="257">
        <f>ROUND((R64*V69*F64*O64/1000000),4)</f>
        <v>1.1548</v>
      </c>
      <c r="AC69" s="258" t="s">
        <v>157</v>
      </c>
      <c r="AD69" s="259" t="s">
        <v>153</v>
      </c>
      <c r="AE69" s="34">
        <f>ROUND((((X69*E64)/1800)),4)</f>
        <v>0.12039999999999999</v>
      </c>
      <c r="AF69" s="34">
        <f>ROUND(((Z69+AA69+AB69)),4)</f>
        <v>8.9323999999999995</v>
      </c>
      <c r="AG69" s="254"/>
      <c r="AH69" s="254"/>
    </row>
    <row r="70" spans="1:34" s="61" customFormat="1" ht="15" customHeight="1" x14ac:dyDescent="0.25">
      <c r="A70" s="260"/>
      <c r="B70" s="35" t="s">
        <v>562</v>
      </c>
      <c r="C70" s="255">
        <v>7</v>
      </c>
      <c r="D70" s="30" t="s">
        <v>560</v>
      </c>
      <c r="E70" s="30">
        <v>2</v>
      </c>
      <c r="F70" s="30">
        <v>34</v>
      </c>
      <c r="G70" s="30">
        <v>6</v>
      </c>
      <c r="H70" s="30">
        <v>60</v>
      </c>
      <c r="I70" s="30">
        <f>(8-1-0.75*2)*60*F70-K70-8*0.12*60</f>
        <v>3869.4</v>
      </c>
      <c r="J70" s="30">
        <v>14</v>
      </c>
      <c r="K70" s="30">
        <f>(8-1-0.75*2)*0.65*60*F70</f>
        <v>7293</v>
      </c>
      <c r="L70" s="30">
        <v>10.16</v>
      </c>
      <c r="M70" s="30">
        <v>10.16</v>
      </c>
      <c r="N70" s="30">
        <v>10</v>
      </c>
      <c r="O70" s="30">
        <f>E70/F70</f>
        <v>5.8823529411764705E-2</v>
      </c>
      <c r="P70" s="30">
        <v>180</v>
      </c>
      <c r="Q70" s="30">
        <v>60</v>
      </c>
      <c r="R70" s="256">
        <v>30</v>
      </c>
      <c r="S70" s="256">
        <v>1.99</v>
      </c>
      <c r="T70" s="30">
        <f>ROUND((L70*I70+1.3*L70*K70+S70*H70),4)</f>
        <v>135758.448</v>
      </c>
      <c r="U70" s="30">
        <f>ROUND((M70*I70+1.3*M70*K70+S70*H70),4)</f>
        <v>135758.448</v>
      </c>
      <c r="V70" s="30">
        <f>ROUND((M70*I70+1.3*M70*K70+S70*H70),4)</f>
        <v>135758.448</v>
      </c>
      <c r="W70" s="30">
        <f>ROUND((L70*J70+1.3*L70*N70+S70*G70),4)</f>
        <v>286.26</v>
      </c>
      <c r="X70" s="30">
        <f>ROUND((M70*J70+1.3*M70*N70+S70*G70),4)</f>
        <v>286.26</v>
      </c>
      <c r="Y70" s="30">
        <f>ROUND((M70*J70+1.3*M70*N70+S70*G70),4)</f>
        <v>286.26</v>
      </c>
      <c r="Z70" s="257">
        <f>ROUND((P70*T70*F70*O70/1000000),4)</f>
        <v>48.872999999999998</v>
      </c>
      <c r="AA70" s="257">
        <f>ROUND((Q70*U70*F70*O70/1000000),4)</f>
        <v>16.291</v>
      </c>
      <c r="AB70" s="257">
        <f>ROUND((R70*V70*F70*O70/1000000),4)</f>
        <v>8.1455000000000002</v>
      </c>
      <c r="AC70" s="258" t="s">
        <v>165</v>
      </c>
      <c r="AD70" s="259" t="s">
        <v>144</v>
      </c>
      <c r="AE70" s="34">
        <f>ROUND((((X70*E70)/1800)*0.8),4)</f>
        <v>0.2545</v>
      </c>
      <c r="AF70" s="34">
        <f>ROUND(((Z70+AA70+AB70)*0.8),4)</f>
        <v>58.647599999999997</v>
      </c>
    </row>
    <row r="71" spans="1:34" s="61" customFormat="1" ht="15" customHeight="1" x14ac:dyDescent="0.25">
      <c r="A71" s="260"/>
      <c r="B71" s="261" t="s">
        <v>563</v>
      </c>
      <c r="C71" s="32"/>
      <c r="D71" s="32"/>
      <c r="E71" s="32"/>
      <c r="F71" s="32"/>
      <c r="G71" s="32"/>
      <c r="H71" s="32"/>
      <c r="I71" s="32"/>
      <c r="J71" s="32"/>
      <c r="K71" s="32"/>
      <c r="L71" s="265"/>
      <c r="M71" s="265"/>
      <c r="N71" s="32"/>
      <c r="O71" s="32"/>
      <c r="P71" s="32"/>
      <c r="Q71" s="32"/>
      <c r="R71" s="32"/>
      <c r="S71" s="268"/>
      <c r="T71" s="32"/>
      <c r="U71" s="32"/>
      <c r="V71" s="32"/>
      <c r="W71" s="32"/>
      <c r="X71" s="32"/>
      <c r="Y71" s="32"/>
      <c r="Z71" s="32"/>
      <c r="AA71" s="32"/>
      <c r="AB71" s="32"/>
      <c r="AC71" s="258" t="s">
        <v>166</v>
      </c>
      <c r="AD71" s="259" t="s">
        <v>167</v>
      </c>
      <c r="AE71" s="34">
        <f>ROUND((((X70*E70)/1800)*0.13),4)</f>
        <v>4.1300000000000003E-2</v>
      </c>
      <c r="AF71" s="34">
        <f>ROUND(((Z70+AA70+AB70)*0.13),4)</f>
        <v>9.5302000000000007</v>
      </c>
    </row>
    <row r="72" spans="1:34" s="61" customFormat="1" ht="15" customHeight="1" x14ac:dyDescent="0.25">
      <c r="A72" s="260"/>
      <c r="C72" s="263"/>
      <c r="D72" s="263"/>
      <c r="E72" s="32"/>
      <c r="F72" s="32"/>
      <c r="G72" s="32"/>
      <c r="H72" s="32"/>
      <c r="I72" s="32"/>
      <c r="J72" s="32"/>
      <c r="K72" s="32"/>
      <c r="L72" s="34">
        <v>0.8</v>
      </c>
      <c r="M72" s="34">
        <v>0.98</v>
      </c>
      <c r="N72" s="32"/>
      <c r="O72" s="32"/>
      <c r="P72" s="32"/>
      <c r="Q72" s="32"/>
      <c r="R72" s="32"/>
      <c r="S72" s="270">
        <v>0.39</v>
      </c>
      <c r="T72" s="30">
        <f>ROUND((L72*I70+1.3*L72*K70+S72*H70),4)</f>
        <v>10703.64</v>
      </c>
      <c r="U72" s="30">
        <f>ROUND((M72*0.9*I70+1.3*M72*0.9*K70+S72*H70),4)</f>
        <v>11798.364600000001</v>
      </c>
      <c r="V72" s="30">
        <f>ROUND((M72*I70+1.3*M72*K70+S72*H70),4)</f>
        <v>13106.694</v>
      </c>
      <c r="W72" s="30">
        <f>ROUND((L72*J70+1.3*L72*N70+S72*G70),4)</f>
        <v>23.94</v>
      </c>
      <c r="X72" s="30">
        <f>ROUND((M72*0.9*J70+1.3*M72*0.9*N70+S72*G70),4)</f>
        <v>26.154</v>
      </c>
      <c r="Y72" s="30">
        <f>ROUND((M72*J70+1.3*M72*N70+S72*G70),4)</f>
        <v>28.8</v>
      </c>
      <c r="Z72" s="257">
        <f>ROUND((P70*T72*F70*O70/1000000),4)</f>
        <v>3.8532999999999999</v>
      </c>
      <c r="AA72" s="257">
        <f>ROUND((Q70*U72*F70*O70/1000000),4)</f>
        <v>1.4157999999999999</v>
      </c>
      <c r="AB72" s="257">
        <f>ROUND((R70*V72*F70*O70/1000000),4)</f>
        <v>0.78639999999999999</v>
      </c>
      <c r="AC72" s="258" t="s">
        <v>547</v>
      </c>
      <c r="AD72" s="259" t="s">
        <v>169</v>
      </c>
      <c r="AE72" s="34">
        <f>ROUND((((X72*E70)/1800)),4)</f>
        <v>2.9100000000000001E-2</v>
      </c>
      <c r="AF72" s="34">
        <f>ROUND(((Z72+AA72+AB72)),5)</f>
        <v>6.0555000000000003</v>
      </c>
    </row>
    <row r="73" spans="1:34" s="61" customFormat="1" ht="15" customHeight="1" x14ac:dyDescent="0.25">
      <c r="A73" s="260"/>
      <c r="C73" s="32"/>
      <c r="D73" s="32"/>
      <c r="E73" s="32"/>
      <c r="F73" s="32"/>
      <c r="G73" s="32"/>
      <c r="H73" s="32"/>
      <c r="I73" s="32"/>
      <c r="J73" s="32"/>
      <c r="K73" s="32"/>
      <c r="L73" s="34">
        <v>1.79</v>
      </c>
      <c r="M73" s="34">
        <v>2.15</v>
      </c>
      <c r="N73" s="32"/>
      <c r="O73" s="32"/>
      <c r="P73" s="32"/>
      <c r="Q73" s="32"/>
      <c r="R73" s="32"/>
      <c r="S73" s="271">
        <v>1.24</v>
      </c>
      <c r="T73" s="30">
        <f>ROUND((L73*I70+1.3*L73*K70+S73*H70),4)</f>
        <v>23971.437000000002</v>
      </c>
      <c r="U73" s="30">
        <f>ROUND((M73*0.9*I70+1.3*M73*0.9*K70+S73*H70),4)</f>
        <v>25907.230500000001</v>
      </c>
      <c r="V73" s="30">
        <f>ROUND((M73*I70+1.3*M73*K70+S73*H70),4)</f>
        <v>28777.544999999998</v>
      </c>
      <c r="W73" s="30">
        <f>ROUND((L73*J70+1.3*L73*N70+S73*G70),4)</f>
        <v>55.77</v>
      </c>
      <c r="X73" s="30">
        <f>ROUND((M73*0.9*J70+1.3*M73*0.9*N70+S73*G70),4)</f>
        <v>59.685000000000002</v>
      </c>
      <c r="Y73" s="30">
        <f>ROUND((M73*J70+1.3*N70+S73*G70),4)</f>
        <v>50.54</v>
      </c>
      <c r="Z73" s="257">
        <f>ROUND((P70*T73*F70*O70/1000000),4)</f>
        <v>8.6296999999999997</v>
      </c>
      <c r="AA73" s="257">
        <f>ROUND((Q70*U73*F70*O70/1000000),4)</f>
        <v>3.1089000000000002</v>
      </c>
      <c r="AB73" s="257">
        <f>ROUND((R70*V73*F70*O70/1000000),4)</f>
        <v>1.7266999999999999</v>
      </c>
      <c r="AC73" s="258" t="s">
        <v>548</v>
      </c>
      <c r="AD73" s="259" t="s">
        <v>549</v>
      </c>
      <c r="AE73" s="34">
        <f>ROUND((((X73*E70)/1800)),4)</f>
        <v>6.6299999999999998E-2</v>
      </c>
      <c r="AF73" s="34">
        <f>ROUND(((Z73+AA73+AB73)),4)</f>
        <v>13.465299999999999</v>
      </c>
    </row>
    <row r="74" spans="1:34" s="61" customFormat="1" ht="15" customHeight="1" x14ac:dyDescent="0.25">
      <c r="A74" s="260"/>
      <c r="B74" s="261"/>
      <c r="C74" s="32"/>
      <c r="D74" s="32"/>
      <c r="E74" s="32"/>
      <c r="F74" s="32"/>
      <c r="G74" s="32"/>
      <c r="H74" s="32"/>
      <c r="I74" s="32"/>
      <c r="J74" s="32"/>
      <c r="K74" s="32"/>
      <c r="L74" s="34">
        <v>1.1299999999999999</v>
      </c>
      <c r="M74" s="34">
        <v>1.7</v>
      </c>
      <c r="N74" s="32"/>
      <c r="O74" s="32"/>
      <c r="P74" s="32"/>
      <c r="Q74" s="32"/>
      <c r="R74" s="32"/>
      <c r="S74" s="271">
        <v>0.26</v>
      </c>
      <c r="T74" s="30">
        <f>ROUND((L74*I70+1.3*L74*K70+S74*H70),4)</f>
        <v>15101.439</v>
      </c>
      <c r="U74" s="30">
        <f>ROUND((M74*0.9*I70+1.3*M74*0.9*K70+S74*H70),4)</f>
        <v>20441.559000000001</v>
      </c>
      <c r="V74" s="30">
        <f>ROUND((M74*I70+1.3*M74*K70+S74*H70),4)</f>
        <v>22711.11</v>
      </c>
      <c r="W74" s="30">
        <f>ROUND((L74*J70+1.3*L74*N70+S74*G70),4)</f>
        <v>32.07</v>
      </c>
      <c r="X74" s="30">
        <f>ROUND((M74*0.9*J70+1.3*M74*0.9*N70+S74*G70),4)</f>
        <v>42.87</v>
      </c>
      <c r="Y74" s="30">
        <f>ROUND((M74*J70+1.3*M74*N70+S74*G70),4)</f>
        <v>47.46</v>
      </c>
      <c r="Z74" s="257">
        <f>ROUND((P70*T74*F70*O70/1000000),4)</f>
        <v>5.4364999999999997</v>
      </c>
      <c r="AA74" s="257">
        <f>ROUND((Q70*U74*F70*O70/1000000),4)</f>
        <v>2.4529999999999998</v>
      </c>
      <c r="AB74" s="257">
        <f>ROUND((R70*V74*F70*O70/1000000),4)</f>
        <v>1.3627</v>
      </c>
      <c r="AC74" s="258" t="s">
        <v>172</v>
      </c>
      <c r="AD74" s="259" t="s">
        <v>173</v>
      </c>
      <c r="AE74" s="34">
        <f>ROUND((((X74*E70)/1800)),4)</f>
        <v>4.7600000000000003E-2</v>
      </c>
      <c r="AF74" s="34">
        <f>ROUND(((Z74+AA74+AB74)),4)</f>
        <v>9.2522000000000002</v>
      </c>
    </row>
    <row r="75" spans="1:34" s="61" customFormat="1" ht="15" customHeight="1" x14ac:dyDescent="0.25">
      <c r="A75" s="260"/>
      <c r="B75" s="272"/>
      <c r="C75" s="265"/>
      <c r="D75" s="265"/>
      <c r="E75" s="265"/>
      <c r="F75" s="265"/>
      <c r="G75" s="265"/>
      <c r="H75" s="265"/>
      <c r="I75" s="265"/>
      <c r="J75" s="265"/>
      <c r="K75" s="265"/>
      <c r="L75" s="34">
        <v>5.3</v>
      </c>
      <c r="M75" s="34">
        <v>6.47</v>
      </c>
      <c r="N75" s="265"/>
      <c r="O75" s="265"/>
      <c r="P75" s="265"/>
      <c r="Q75" s="265"/>
      <c r="R75" s="265"/>
      <c r="S75" s="271">
        <v>9.92</v>
      </c>
      <c r="T75" s="30">
        <f>ROUND((L75*I70+1.3*L75*K70+S75*H70),4)</f>
        <v>71351.789999999994</v>
      </c>
      <c r="U75" s="30">
        <f>ROUND((M75*0.9*I70+1.3*M75*0.9*K70+S75*H70),4)</f>
        <v>78333.996899999998</v>
      </c>
      <c r="V75" s="30">
        <f>ROUND((M75*I70+1.3*M75*K70+S75*H70),4)</f>
        <v>86971.641000000003</v>
      </c>
      <c r="W75" s="30">
        <f>ROUND((L75*J70+1.3*L75*N70+S75*G70),4)</f>
        <v>202.62</v>
      </c>
      <c r="X75" s="30">
        <f>ROUND((M75*0.9*J70+1.3*M75*0.9*N70+S75*G70),4)</f>
        <v>216.74100000000001</v>
      </c>
      <c r="Y75" s="30">
        <f>ROUND((M75*J70+1.3*M75*N70+S75*G70),4)</f>
        <v>234.21</v>
      </c>
      <c r="Z75" s="257">
        <f>ROUND((P70*T75*F70*O70/1000000),4)</f>
        <v>25.686599999999999</v>
      </c>
      <c r="AA75" s="257">
        <f>ROUND((Q70*U75*F70*O70/1000000),4)</f>
        <v>9.4001000000000001</v>
      </c>
      <c r="AB75" s="257">
        <f>ROUND((R70*V75*F70*O70/1000000),4)</f>
        <v>5.2183000000000002</v>
      </c>
      <c r="AC75" s="258" t="s">
        <v>157</v>
      </c>
      <c r="AD75" s="259" t="s">
        <v>153</v>
      </c>
      <c r="AE75" s="34">
        <f>ROUND((((X75*E70)/1800)),4)</f>
        <v>0.24079999999999999</v>
      </c>
      <c r="AF75" s="34">
        <f>ROUND(((Z75+AA75+AB75)),4)</f>
        <v>40.305</v>
      </c>
    </row>
    <row r="76" spans="1:34" s="61" customFormat="1" ht="15" customHeight="1" x14ac:dyDescent="0.25">
      <c r="A76" s="260"/>
      <c r="B76" s="1635" t="s">
        <v>562</v>
      </c>
      <c r="C76" s="30">
        <v>7</v>
      </c>
      <c r="D76" s="30" t="s">
        <v>560</v>
      </c>
      <c r="E76" s="30">
        <v>1</v>
      </c>
      <c r="F76" s="30">
        <v>14</v>
      </c>
      <c r="G76" s="30">
        <v>6</v>
      </c>
      <c r="H76" s="30">
        <v>60</v>
      </c>
      <c r="I76" s="30">
        <f>(8-1-0.75*2)*60*F76-K76-8*0.12*60</f>
        <v>1559.4</v>
      </c>
      <c r="J76" s="30">
        <v>14</v>
      </c>
      <c r="K76" s="30">
        <f>(8-1-0.75*2)*0.65*60*F76</f>
        <v>3003</v>
      </c>
      <c r="L76" s="30">
        <v>10.16</v>
      </c>
      <c r="M76" s="30">
        <v>10.16</v>
      </c>
      <c r="N76" s="30">
        <v>10</v>
      </c>
      <c r="O76" s="30">
        <f>E76/F76</f>
        <v>7.1428571428571425E-2</v>
      </c>
      <c r="P76" s="30">
        <v>180</v>
      </c>
      <c r="Q76" s="30">
        <v>60</v>
      </c>
      <c r="R76" s="256">
        <v>30</v>
      </c>
      <c r="S76" s="256">
        <v>1.99</v>
      </c>
      <c r="T76" s="30">
        <f>ROUND((L76*I76+1.3*L76*K76+S76*H76),4)</f>
        <v>55626.527999999998</v>
      </c>
      <c r="U76" s="30">
        <f>ROUND((M76*I76+1.3*M76*K76+S76*H76),4)</f>
        <v>55626.527999999998</v>
      </c>
      <c r="V76" s="30">
        <f>ROUND((M76*I76+1.3*M76*K76+S76*H76),4)</f>
        <v>55626.527999999998</v>
      </c>
      <c r="W76" s="30">
        <f>ROUND((L76*J76+1.3*L76*N76+S76*G76),4)</f>
        <v>286.26</v>
      </c>
      <c r="X76" s="30">
        <f>ROUND((M76*J76+1.3*M76*N76+S76*G76),4)</f>
        <v>286.26</v>
      </c>
      <c r="Y76" s="30">
        <f>ROUND((M76*J76+1.3*M76*N76+S76*G76),4)</f>
        <v>286.26</v>
      </c>
      <c r="Z76" s="257">
        <f>ROUND((P76*T76*F76*O76/1000000),4)</f>
        <v>10.0128</v>
      </c>
      <c r="AA76" s="257">
        <f>ROUND((Q76*U76*F76*O76/1000000),4)</f>
        <v>3.3376000000000001</v>
      </c>
      <c r="AB76" s="257">
        <f>ROUND((R76*V76*F76*O76/1000000),4)</f>
        <v>1.6688000000000001</v>
      </c>
      <c r="AC76" s="258" t="s">
        <v>165</v>
      </c>
      <c r="AD76" s="259" t="s">
        <v>144</v>
      </c>
      <c r="AE76" s="34">
        <f>ROUND((((X76*E76)/1800)*0.8),4)</f>
        <v>0.12720000000000001</v>
      </c>
      <c r="AF76" s="34">
        <f>ROUND(((Z76+AA76+AB76)*0.8),4)</f>
        <v>12.0154</v>
      </c>
    </row>
    <row r="77" spans="1:34" s="61" customFormat="1" ht="15" customHeight="1" x14ac:dyDescent="0.25">
      <c r="A77" s="260"/>
      <c r="B77" s="1636"/>
      <c r="C77" s="32"/>
      <c r="D77" s="32"/>
      <c r="E77" s="32"/>
      <c r="F77" s="32"/>
      <c r="G77" s="32"/>
      <c r="H77" s="32"/>
      <c r="I77" s="32"/>
      <c r="J77" s="32"/>
      <c r="K77" s="32"/>
      <c r="L77" s="265"/>
      <c r="M77" s="265"/>
      <c r="N77" s="32"/>
      <c r="O77" s="32"/>
      <c r="P77" s="32"/>
      <c r="Q77" s="32"/>
      <c r="R77" s="32"/>
      <c r="S77" s="268"/>
      <c r="T77" s="32"/>
      <c r="U77" s="32"/>
      <c r="V77" s="32"/>
      <c r="W77" s="32"/>
      <c r="X77" s="32"/>
      <c r="Y77" s="32"/>
      <c r="Z77" s="32"/>
      <c r="AA77" s="32"/>
      <c r="AB77" s="32"/>
      <c r="AC77" s="258" t="s">
        <v>166</v>
      </c>
      <c r="AD77" s="259" t="s">
        <v>167</v>
      </c>
      <c r="AE77" s="34">
        <f>ROUND((((X76*E76)/1800)*0.13),4)</f>
        <v>2.07E-2</v>
      </c>
      <c r="AF77" s="34">
        <f>ROUND(((Z76+AA76+AB76)*0.13),4)</f>
        <v>1.9524999999999999</v>
      </c>
    </row>
    <row r="78" spans="1:34" s="61" customFormat="1" ht="15" customHeight="1" x14ac:dyDescent="0.25">
      <c r="A78" s="260"/>
      <c r="B78" s="300" t="s">
        <v>564</v>
      </c>
      <c r="C78" s="263"/>
      <c r="D78" s="263"/>
      <c r="E78" s="32"/>
      <c r="F78" s="32"/>
      <c r="G78" s="32"/>
      <c r="H78" s="32"/>
      <c r="I78" s="32"/>
      <c r="J78" s="32"/>
      <c r="K78" s="32"/>
      <c r="L78" s="34">
        <v>0.8</v>
      </c>
      <c r="M78" s="34">
        <v>0.98</v>
      </c>
      <c r="N78" s="32"/>
      <c r="O78" s="32"/>
      <c r="P78" s="32"/>
      <c r="Q78" s="32"/>
      <c r="R78" s="32"/>
      <c r="S78" s="270">
        <v>0.39</v>
      </c>
      <c r="T78" s="30">
        <f>ROUND((L78*I76+1.3*L78*K76+S78*H76),4)</f>
        <v>4394.04</v>
      </c>
      <c r="U78" s="30">
        <f>ROUND((M78*0.9*I76+1.3*M78*0.9*K76+S78*H76),4)</f>
        <v>4842.0306</v>
      </c>
      <c r="V78" s="30">
        <f>ROUND((M78*I76+1.3*M78*K76+S78*H76),4)</f>
        <v>5377.4340000000002</v>
      </c>
      <c r="W78" s="30">
        <f>ROUND((L78*J76+1.3*L78*N76+S78*G76),4)</f>
        <v>23.94</v>
      </c>
      <c r="X78" s="30">
        <f>ROUND((M78*0.9*J76+1.3*M78*0.9*N76+S78*G76),4)</f>
        <v>26.154</v>
      </c>
      <c r="Y78" s="30">
        <f>ROUND((M78*J76+1.3*M78*N76+S78*G76),4)</f>
        <v>28.8</v>
      </c>
      <c r="Z78" s="257">
        <f>ROUND((P76*T78*F76*O76/1000000),4)</f>
        <v>0.79090000000000005</v>
      </c>
      <c r="AA78" s="257">
        <f>ROUND((Q76*U78*F76*O76/1000000),4)</f>
        <v>0.29049999999999998</v>
      </c>
      <c r="AB78" s="257">
        <f>ROUND((R76*V78*F76*O76/1000000),4)</f>
        <v>0.1613</v>
      </c>
      <c r="AC78" s="258" t="s">
        <v>547</v>
      </c>
      <c r="AD78" s="259" t="s">
        <v>169</v>
      </c>
      <c r="AE78" s="34">
        <f>ROUND((((X78*E76)/1800)),4)</f>
        <v>1.4500000000000001E-2</v>
      </c>
      <c r="AF78" s="34">
        <f>ROUND(((Z78+AA78+AB78)),5)</f>
        <v>1.2426999999999999</v>
      </c>
    </row>
    <row r="79" spans="1:34" s="61" customFormat="1" ht="15" customHeight="1" x14ac:dyDescent="0.25">
      <c r="A79" s="260"/>
      <c r="B79" s="300"/>
      <c r="C79" s="32"/>
      <c r="D79" s="32"/>
      <c r="E79" s="32"/>
      <c r="F79" s="32"/>
      <c r="G79" s="32"/>
      <c r="H79" s="32"/>
      <c r="I79" s="32"/>
      <c r="J79" s="32"/>
      <c r="K79" s="32"/>
      <c r="L79" s="34">
        <v>1.79</v>
      </c>
      <c r="M79" s="34">
        <v>2.15</v>
      </c>
      <c r="N79" s="32"/>
      <c r="O79" s="32"/>
      <c r="P79" s="32"/>
      <c r="Q79" s="32"/>
      <c r="R79" s="32"/>
      <c r="S79" s="271">
        <v>1.24</v>
      </c>
      <c r="T79" s="30">
        <f>ROUND((L79*I76+1.3*L79*K76+S79*H76),4)</f>
        <v>9853.7070000000003</v>
      </c>
      <c r="U79" s="30">
        <f>ROUND((M79*0.9*I76+1.3*M79*0.9*K76+S79*H76),4)</f>
        <v>10645.8855</v>
      </c>
      <c r="V79" s="30">
        <f>ROUND((M79*I76+1.3*M79*K76+S79*H76),4)</f>
        <v>11820.495000000001</v>
      </c>
      <c r="W79" s="30">
        <f>ROUND((L79*J76+1.3*L79*N76+S79*G76),4)</f>
        <v>55.77</v>
      </c>
      <c r="X79" s="30">
        <f>ROUND((M79*0.9*J76+1.3*M79*0.9*N76+S79*G76),4)</f>
        <v>59.685000000000002</v>
      </c>
      <c r="Y79" s="30">
        <f>ROUND((M79*J76+1.3*N76+S79*G76),4)</f>
        <v>50.54</v>
      </c>
      <c r="Z79" s="257">
        <f>ROUND((P76*T79*F76*O76/1000000),4)</f>
        <v>1.7737000000000001</v>
      </c>
      <c r="AA79" s="257">
        <f>ROUND((Q76*U79*F76*O76/1000000),4)</f>
        <v>0.63880000000000003</v>
      </c>
      <c r="AB79" s="257">
        <f>ROUND((R76*V79*F76*O76/1000000),4)</f>
        <v>0.35460000000000003</v>
      </c>
      <c r="AC79" s="258" t="s">
        <v>548</v>
      </c>
      <c r="AD79" s="259" t="s">
        <v>549</v>
      </c>
      <c r="AE79" s="34">
        <f>ROUND((((X79*E76)/1800)),4)</f>
        <v>3.32E-2</v>
      </c>
      <c r="AF79" s="34">
        <f>ROUND(((Z79+AA79+AB79)),4)</f>
        <v>2.7671000000000001</v>
      </c>
    </row>
    <row r="80" spans="1:34" s="61" customFormat="1" ht="15" customHeight="1" x14ac:dyDescent="0.25">
      <c r="A80" s="260"/>
      <c r="B80" s="261"/>
      <c r="C80" s="32"/>
      <c r="D80" s="32"/>
      <c r="E80" s="32"/>
      <c r="F80" s="32"/>
      <c r="G80" s="32"/>
      <c r="H80" s="32"/>
      <c r="I80" s="32"/>
      <c r="J80" s="32"/>
      <c r="K80" s="32"/>
      <c r="L80" s="34">
        <v>1.1299999999999999</v>
      </c>
      <c r="M80" s="34">
        <v>1.7</v>
      </c>
      <c r="N80" s="32"/>
      <c r="O80" s="32"/>
      <c r="P80" s="32"/>
      <c r="Q80" s="32"/>
      <c r="R80" s="32"/>
      <c r="S80" s="271">
        <v>0.26</v>
      </c>
      <c r="T80" s="30">
        <f>ROUND((L80*I76+1.3*L80*K76+S80*H76),4)</f>
        <v>6189.1289999999999</v>
      </c>
      <c r="U80" s="30">
        <f>ROUND((M80*0.9*I76+1.3*M80*0.9*K76+S80*H76),4)</f>
        <v>8374.4490000000005</v>
      </c>
      <c r="V80" s="30">
        <f>ROUND((M80*I76+1.3*M80*K76+S80*H76),4)</f>
        <v>9303.2099999999991</v>
      </c>
      <c r="W80" s="30">
        <f>ROUND((L80*J76+1.3*L80*N76+S80*G76),4)</f>
        <v>32.07</v>
      </c>
      <c r="X80" s="30">
        <f>ROUND((M80*0.9*J76+1.3*M80*0.9*N76+S80*G76),4)</f>
        <v>42.87</v>
      </c>
      <c r="Y80" s="30">
        <f>ROUND((M80*J76+1.3*M80*N76+S80*G76),4)</f>
        <v>47.46</v>
      </c>
      <c r="Z80" s="257">
        <f>ROUND((P76*T80*F76*O76/1000000),4)</f>
        <v>1.1140000000000001</v>
      </c>
      <c r="AA80" s="257">
        <f>ROUND((Q76*U80*F76*O76/1000000),4)</f>
        <v>0.50249999999999995</v>
      </c>
      <c r="AB80" s="257">
        <f>ROUND((R76*V80*F76*O76/1000000),4)</f>
        <v>0.27910000000000001</v>
      </c>
      <c r="AC80" s="258" t="s">
        <v>172</v>
      </c>
      <c r="AD80" s="259" t="s">
        <v>173</v>
      </c>
      <c r="AE80" s="34">
        <f>ROUND((((X80*E76)/1800)),4)</f>
        <v>2.3800000000000002E-2</v>
      </c>
      <c r="AF80" s="34">
        <f>ROUND(((Z80+AA80+AB80)),4)</f>
        <v>1.8956</v>
      </c>
    </row>
    <row r="81" spans="1:35" s="61" customFormat="1" ht="15" customHeight="1" x14ac:dyDescent="0.25">
      <c r="A81" s="260"/>
      <c r="B81" s="272"/>
      <c r="C81" s="265"/>
      <c r="D81" s="265"/>
      <c r="E81" s="265"/>
      <c r="F81" s="265"/>
      <c r="G81" s="265"/>
      <c r="H81" s="265"/>
      <c r="I81" s="265"/>
      <c r="J81" s="265"/>
      <c r="K81" s="265"/>
      <c r="L81" s="34">
        <v>5.3</v>
      </c>
      <c r="M81" s="34">
        <v>6.47</v>
      </c>
      <c r="N81" s="265"/>
      <c r="O81" s="265"/>
      <c r="P81" s="265"/>
      <c r="Q81" s="265"/>
      <c r="R81" s="265"/>
      <c r="S81" s="271">
        <v>9.92</v>
      </c>
      <c r="T81" s="30">
        <f>ROUND((L81*I76+1.3*L81*K76+S81*H76),4)</f>
        <v>29550.69</v>
      </c>
      <c r="U81" s="30">
        <f>ROUND((M81*0.9*I76+1.3*M81*0.9*K76+S81*H76),4)</f>
        <v>32407.995900000002</v>
      </c>
      <c r="V81" s="30">
        <f>ROUND((M81*I76+1.3*M81*K76+S81*H76),4)</f>
        <v>35942.750999999997</v>
      </c>
      <c r="W81" s="30">
        <f>ROUND((L81*J76+1.3*L81*N76+S81*G76),4)</f>
        <v>202.62</v>
      </c>
      <c r="X81" s="30">
        <f>ROUND((M81*0.9*J76+1.3*M81*0.9*N76+S81*G76),4)</f>
        <v>216.74100000000001</v>
      </c>
      <c r="Y81" s="30">
        <f>ROUND((M81*J76+1.3*M81*N76+S81*G76),4)</f>
        <v>234.21</v>
      </c>
      <c r="Z81" s="257">
        <f>ROUND((P76*T81*F76*O76/1000000),4)</f>
        <v>5.3190999999999997</v>
      </c>
      <c r="AA81" s="257">
        <f>ROUND((Q76*U81*F76*O76/1000000),4)</f>
        <v>1.9444999999999999</v>
      </c>
      <c r="AB81" s="257">
        <f>ROUND((R76*V81*F76*O76/1000000),4)</f>
        <v>1.0783</v>
      </c>
      <c r="AC81" s="258" t="s">
        <v>157</v>
      </c>
      <c r="AD81" s="259" t="s">
        <v>153</v>
      </c>
      <c r="AE81" s="34">
        <f>ROUND((((X81*E76)/1800)),4)</f>
        <v>0.12039999999999999</v>
      </c>
      <c r="AF81" s="34">
        <f>ROUND(((Z81+AA81+AB81)),4)</f>
        <v>8.3419000000000008</v>
      </c>
    </row>
    <row r="82" spans="1:35" s="61" customFormat="1" ht="15" customHeight="1" x14ac:dyDescent="0.25">
      <c r="A82" s="260"/>
      <c r="B82" s="1478" t="s">
        <v>581</v>
      </c>
      <c r="C82" s="274">
        <v>5</v>
      </c>
      <c r="D82" s="38" t="s">
        <v>552</v>
      </c>
      <c r="E82" s="38">
        <v>1</v>
      </c>
      <c r="F82" s="38">
        <v>4</v>
      </c>
      <c r="G82" s="38">
        <v>6</v>
      </c>
      <c r="H82" s="38">
        <v>60</v>
      </c>
      <c r="I82" s="38">
        <f>(8-1-0.75*2)*60*F82-K82-8*0.12*60</f>
        <v>404.4</v>
      </c>
      <c r="J82" s="38">
        <v>14</v>
      </c>
      <c r="K82" s="38">
        <f>(8-1-0.75*2)*0.65*60*F82</f>
        <v>858</v>
      </c>
      <c r="L82" s="38">
        <v>4.01</v>
      </c>
      <c r="M82" s="38">
        <v>4.01</v>
      </c>
      <c r="N82" s="38">
        <v>10</v>
      </c>
      <c r="O82" s="38">
        <f>E82/F82</f>
        <v>0.25</v>
      </c>
      <c r="P82" s="38">
        <v>180</v>
      </c>
      <c r="Q82" s="38">
        <v>60</v>
      </c>
      <c r="R82" s="275">
        <v>30</v>
      </c>
      <c r="S82" s="275">
        <v>0.78</v>
      </c>
      <c r="T82" s="38">
        <f>ROUND((L82*I82+1.3*L82*K82+S82*H82),4)</f>
        <v>6141.1980000000003</v>
      </c>
      <c r="U82" s="38">
        <f>ROUND((M82*I82+1.3*M82*K82+S82*H82),4)</f>
        <v>6141.1980000000003</v>
      </c>
      <c r="V82" s="38">
        <f>ROUND((M82*I82+1.3*M82*K82+S82*H82),4)</f>
        <v>6141.1980000000003</v>
      </c>
      <c r="W82" s="38">
        <f>ROUND((L82*J82+1.3*L82*N82+S82*G82),4)</f>
        <v>112.95</v>
      </c>
      <c r="X82" s="38">
        <f>ROUND((M82*J82+1.3*M82*N82+S82*G82),4)</f>
        <v>112.95</v>
      </c>
      <c r="Y82" s="38">
        <f>ROUND((M82*J82+1.3*M82*N82+S82*G82),4)</f>
        <v>112.95</v>
      </c>
      <c r="Z82" s="276">
        <f>ROUND((P82*T82*F82*O82/1000000),4)</f>
        <v>1.1053999999999999</v>
      </c>
      <c r="AA82" s="276">
        <f>ROUND((Q82*U82*F82*O82/1000000),4)</f>
        <v>0.36849999999999999</v>
      </c>
      <c r="AB82" s="276">
        <f>ROUND((R82*V82*F82*O82/1000000),4)</f>
        <v>0.1842</v>
      </c>
      <c r="AC82" s="277" t="s">
        <v>165</v>
      </c>
      <c r="AD82" s="278" t="s">
        <v>144</v>
      </c>
      <c r="AE82" s="40">
        <f>ROUND((((X82*E82)/1800)*0.8),4)</f>
        <v>5.0200000000000002E-2</v>
      </c>
      <c r="AF82" s="40">
        <f>ROUND(((Z82+AA82+AB82)*0.8),4)</f>
        <v>1.3265</v>
      </c>
    </row>
    <row r="83" spans="1:35" s="61" customFormat="1" ht="15" customHeight="1" x14ac:dyDescent="0.25">
      <c r="A83" s="260"/>
      <c r="B83" s="1634"/>
      <c r="C83" s="280"/>
      <c r="D83" s="39"/>
      <c r="E83" s="39"/>
      <c r="F83" s="39"/>
      <c r="G83" s="39"/>
      <c r="H83" s="39"/>
      <c r="I83" s="39"/>
      <c r="J83" s="39"/>
      <c r="K83" s="39"/>
      <c r="L83" s="119"/>
      <c r="M83" s="119"/>
      <c r="N83" s="39"/>
      <c r="O83" s="39"/>
      <c r="P83" s="39"/>
      <c r="Q83" s="39"/>
      <c r="R83" s="39"/>
      <c r="S83" s="281"/>
      <c r="T83" s="39"/>
      <c r="U83" s="39"/>
      <c r="V83" s="39"/>
      <c r="W83" s="39"/>
      <c r="X83" s="39"/>
      <c r="Y83" s="39"/>
      <c r="Z83" s="39"/>
      <c r="AA83" s="39"/>
      <c r="AB83" s="39"/>
      <c r="AC83" s="277" t="s">
        <v>166</v>
      </c>
      <c r="AD83" s="278" t="s">
        <v>167</v>
      </c>
      <c r="AE83" s="40">
        <f>ROUND((((X82*E82)/1800)*0.13),4)</f>
        <v>8.2000000000000007E-3</v>
      </c>
      <c r="AF83" s="40">
        <f>ROUND(((Z82+AA82+AB82)*0.13),4)</f>
        <v>0.21560000000000001</v>
      </c>
    </row>
    <row r="84" spans="1:35" s="61" customFormat="1" ht="15" customHeight="1" x14ac:dyDescent="0.25">
      <c r="A84" s="260"/>
      <c r="B84" s="279" t="s">
        <v>582</v>
      </c>
      <c r="C84" s="282"/>
      <c r="D84" s="283"/>
      <c r="E84" s="39"/>
      <c r="F84" s="39"/>
      <c r="G84" s="39"/>
      <c r="H84" s="39"/>
      <c r="I84" s="39"/>
      <c r="J84" s="39"/>
      <c r="K84" s="39"/>
      <c r="L84" s="40">
        <v>0.31</v>
      </c>
      <c r="M84" s="40">
        <v>0.38</v>
      </c>
      <c r="N84" s="39"/>
      <c r="O84" s="39"/>
      <c r="P84" s="39"/>
      <c r="Q84" s="39"/>
      <c r="R84" s="39"/>
      <c r="S84" s="284">
        <v>0.16</v>
      </c>
      <c r="T84" s="38">
        <f>ROUND((L84*I82+1.3*L84*K82+S84*H82),4)</f>
        <v>480.738</v>
      </c>
      <c r="U84" s="38">
        <f>ROUND((M84*0.9*I82+1.3*M84*0.9*K82+S84*H82),4)</f>
        <v>529.37159999999994</v>
      </c>
      <c r="V84" s="38">
        <f>ROUND((M84*I82+1.3*M84*K82+S84*H82),4)</f>
        <v>587.12400000000002</v>
      </c>
      <c r="W84" s="38">
        <f>ROUND((L84*J82+1.3*L84*N82+S84*G82),4)</f>
        <v>9.33</v>
      </c>
      <c r="X84" s="38">
        <f>ROUND((M84*0.9*J82+1.3*M84*0.9*N82+S84*G82),4)</f>
        <v>10.194000000000001</v>
      </c>
      <c r="Y84" s="38">
        <f>ROUND((M84*J82+1.3*M84*N82+S84*G82),4)</f>
        <v>11.22</v>
      </c>
      <c r="Z84" s="276">
        <f>ROUND((P82*T84*F82*O82/1000000),4)</f>
        <v>8.6499999999999994E-2</v>
      </c>
      <c r="AA84" s="276">
        <f>ROUND((Q82*U84*F82*O82/1000000),4)</f>
        <v>3.1800000000000002E-2</v>
      </c>
      <c r="AB84" s="276">
        <f>ROUND((R82*V84*F82*O82/1000000),4)</f>
        <v>1.7600000000000001E-2</v>
      </c>
      <c r="AC84" s="277" t="s">
        <v>547</v>
      </c>
      <c r="AD84" s="278" t="s">
        <v>169</v>
      </c>
      <c r="AE84" s="40">
        <f>ROUND((((X84*E82)/1800)),4)</f>
        <v>5.7000000000000002E-3</v>
      </c>
      <c r="AF84" s="40">
        <f>ROUND(((Z84+AA84+AB84)),5)</f>
        <v>0.13589999999999999</v>
      </c>
    </row>
    <row r="85" spans="1:35" s="61" customFormat="1" ht="15" customHeight="1" x14ac:dyDescent="0.25">
      <c r="A85" s="260"/>
      <c r="B85" s="280"/>
      <c r="C85" s="280"/>
      <c r="D85" s="39"/>
      <c r="E85" s="39"/>
      <c r="F85" s="39"/>
      <c r="G85" s="39"/>
      <c r="H85" s="39"/>
      <c r="I85" s="39"/>
      <c r="J85" s="39"/>
      <c r="K85" s="39"/>
      <c r="L85" s="40">
        <v>0.71</v>
      </c>
      <c r="M85" s="40">
        <v>0.85</v>
      </c>
      <c r="N85" s="39"/>
      <c r="O85" s="39"/>
      <c r="P85" s="39"/>
      <c r="Q85" s="39"/>
      <c r="R85" s="39"/>
      <c r="S85" s="285">
        <v>0.49</v>
      </c>
      <c r="T85" s="38">
        <f>ROUND((L85*I82+1.3*L85*K82+S85*H82),4)</f>
        <v>1108.4580000000001</v>
      </c>
      <c r="U85" s="38">
        <f>ROUND((M85*0.9*I82+1.3*M85*0.9*K82+S85*H82),4)</f>
        <v>1192.047</v>
      </c>
      <c r="V85" s="38">
        <f>ROUND((M85*I82+1.3*M85*K82+S85*H82),4)</f>
        <v>1321.23</v>
      </c>
      <c r="W85" s="38">
        <f>ROUND((L85*J82+1.3*L85*N82+S85*G82),4)</f>
        <v>22.11</v>
      </c>
      <c r="X85" s="38">
        <f>ROUND((M85*0.9*J82+1.3*M85*0.9*N82+S85*G82),4)</f>
        <v>23.594999999999999</v>
      </c>
      <c r="Y85" s="38">
        <f>ROUND((M85*J82+1.3*N82+S85*G82),4)</f>
        <v>27.84</v>
      </c>
      <c r="Z85" s="276">
        <f>ROUND((P82*T85*F82*O82/1000000),4)</f>
        <v>0.19950000000000001</v>
      </c>
      <c r="AA85" s="276">
        <f>ROUND((Q82*U85*F82*O82/1000000),4)</f>
        <v>7.1499999999999994E-2</v>
      </c>
      <c r="AB85" s="276">
        <f>ROUND((R82*V85*F82*O82/1000000),4)</f>
        <v>3.9600000000000003E-2</v>
      </c>
      <c r="AC85" s="277" t="s">
        <v>548</v>
      </c>
      <c r="AD85" s="278" t="s">
        <v>549</v>
      </c>
      <c r="AE85" s="40">
        <f>ROUND((((X85*E82)/1800)),4)</f>
        <v>1.3100000000000001E-2</v>
      </c>
      <c r="AF85" s="40">
        <f>ROUND(((Z85+AA85+AB85)),4)</f>
        <v>0.31059999999999999</v>
      </c>
    </row>
    <row r="86" spans="1:35" s="61" customFormat="1" ht="15" customHeight="1" x14ac:dyDescent="0.25">
      <c r="A86" s="260"/>
      <c r="B86" s="280"/>
      <c r="C86" s="280"/>
      <c r="D86" s="39"/>
      <c r="E86" s="39"/>
      <c r="F86" s="39"/>
      <c r="G86" s="39"/>
      <c r="H86" s="39"/>
      <c r="I86" s="39"/>
      <c r="J86" s="39"/>
      <c r="K86" s="39"/>
      <c r="L86" s="40">
        <v>0.45</v>
      </c>
      <c r="M86" s="40">
        <v>0.67</v>
      </c>
      <c r="N86" s="39"/>
      <c r="O86" s="39"/>
      <c r="P86" s="39"/>
      <c r="Q86" s="39"/>
      <c r="R86" s="39"/>
      <c r="S86" s="285">
        <v>0.1</v>
      </c>
      <c r="T86" s="38">
        <f>ROUND((L86*I82+1.3*L86*K82+S86*H82),4)</f>
        <v>689.91</v>
      </c>
      <c r="U86" s="38">
        <f>ROUND((M86*0.9*I82+1.3*M86*0.9*K82+S86*H82),4)</f>
        <v>922.43939999999998</v>
      </c>
      <c r="V86" s="38">
        <f>ROUND((M86*I82+1.3*M86*K82+S86*H82),4)</f>
        <v>1024.2660000000001</v>
      </c>
      <c r="W86" s="38">
        <f>ROUND((L86*J82+1.3*L86*N82+S86*G82),4)</f>
        <v>12.75</v>
      </c>
      <c r="X86" s="38">
        <f>ROUND((M86*0.9*J82+1.3*M86*0.9*N82+S86*G82),4)</f>
        <v>16.881</v>
      </c>
      <c r="Y86" s="38">
        <f>ROUND((M86*J82+1.3*M86*N82+S86*G82),4)</f>
        <v>18.690000000000001</v>
      </c>
      <c r="Z86" s="276">
        <f>ROUND((P82*T86*F82*O82/1000000),4)</f>
        <v>0.1242</v>
      </c>
      <c r="AA86" s="276">
        <f>ROUND((Q82*U86*F82*O82/1000000),4)</f>
        <v>5.5300000000000002E-2</v>
      </c>
      <c r="AB86" s="276">
        <f>ROUND((R82*V86*F82*O82/1000000),4)</f>
        <v>3.0700000000000002E-2</v>
      </c>
      <c r="AC86" s="277" t="s">
        <v>172</v>
      </c>
      <c r="AD86" s="278" t="s">
        <v>173</v>
      </c>
      <c r="AE86" s="40">
        <f>ROUND((((X86*E82)/1800)),4)</f>
        <v>9.4000000000000004E-3</v>
      </c>
      <c r="AF86" s="40">
        <f>ROUND(((Z86+AA86+AB86)),4)</f>
        <v>0.2102</v>
      </c>
    </row>
    <row r="87" spans="1:35" s="61" customFormat="1" ht="15" customHeight="1" x14ac:dyDescent="0.25">
      <c r="A87" s="260"/>
      <c r="B87" s="286"/>
      <c r="C87" s="286"/>
      <c r="D87" s="119"/>
      <c r="E87" s="119"/>
      <c r="F87" s="119"/>
      <c r="G87" s="119"/>
      <c r="H87" s="119"/>
      <c r="I87" s="119"/>
      <c r="J87" s="119"/>
      <c r="K87" s="119"/>
      <c r="L87" s="40">
        <v>2.09</v>
      </c>
      <c r="M87" s="40">
        <v>2.5499999999999998</v>
      </c>
      <c r="N87" s="119"/>
      <c r="O87" s="119"/>
      <c r="P87" s="119"/>
      <c r="Q87" s="119"/>
      <c r="R87" s="119"/>
      <c r="S87" s="285">
        <v>3.91</v>
      </c>
      <c r="T87" s="38">
        <f>ROUND((L87*I82+1.3*L87*K82+S87*H82),4)</f>
        <v>3410.982</v>
      </c>
      <c r="U87" s="38">
        <f>ROUND((M87*0.9*I82+1.3*M87*0.9*K82+S87*H82),4)</f>
        <v>3722.5410000000002</v>
      </c>
      <c r="V87" s="38">
        <f>ROUND((M87*I82+1.3*M87*K82+S87*H82),4)</f>
        <v>4110.09</v>
      </c>
      <c r="W87" s="38">
        <f>ROUND((L87*J82+1.3*L87*N82+S87*G82),4)</f>
        <v>79.89</v>
      </c>
      <c r="X87" s="38">
        <f>ROUND((M87*0.9*J82+1.3*M87*0.9*N82+S87*G82),4)</f>
        <v>85.424999999999997</v>
      </c>
      <c r="Y87" s="38">
        <f>ROUND((M87*J82+1.3*M87*N82+S87*G82),4)</f>
        <v>92.31</v>
      </c>
      <c r="Z87" s="276">
        <f>ROUND((P82*T87*F82*O82/1000000),4)</f>
        <v>0.61399999999999999</v>
      </c>
      <c r="AA87" s="276">
        <f>ROUND((Q82*U87*F82*O82/1000000),4)</f>
        <v>0.22339999999999999</v>
      </c>
      <c r="AB87" s="276">
        <f>ROUND((R82*V87*F82*O82/1000000),4)</f>
        <v>0.12330000000000001</v>
      </c>
      <c r="AC87" s="277" t="s">
        <v>157</v>
      </c>
      <c r="AD87" s="278" t="s">
        <v>153</v>
      </c>
      <c r="AE87" s="40">
        <f>ROUND((((X87*E82)/1800)),4)</f>
        <v>4.7500000000000001E-2</v>
      </c>
      <c r="AF87" s="40">
        <f>ROUND(((Z87+AA87+AB87)),4)</f>
        <v>0.9607</v>
      </c>
    </row>
    <row r="88" spans="1:35" s="61" customFormat="1" ht="15" customHeight="1" x14ac:dyDescent="0.25">
      <c r="A88" s="260"/>
      <c r="B88" s="287" t="s">
        <v>565</v>
      </c>
      <c r="C88" s="38">
        <v>1</v>
      </c>
      <c r="D88" s="38" t="s">
        <v>566</v>
      </c>
      <c r="E88" s="38">
        <v>2</v>
      </c>
      <c r="F88" s="38">
        <v>26</v>
      </c>
      <c r="G88" s="38">
        <v>6</v>
      </c>
      <c r="H88" s="38">
        <v>60</v>
      </c>
      <c r="I88" s="38">
        <f>(8-1-0.75*2)*60*F88-K88-8*0.12*60</f>
        <v>2945.4</v>
      </c>
      <c r="J88" s="38">
        <v>14</v>
      </c>
      <c r="K88" s="38">
        <f>(8-1-0.75*2)*0.65*60*F88</f>
        <v>5577</v>
      </c>
      <c r="L88" s="38">
        <v>0.47</v>
      </c>
      <c r="M88" s="38">
        <v>0.47</v>
      </c>
      <c r="N88" s="38">
        <v>10</v>
      </c>
      <c r="O88" s="38">
        <f>E88/F88</f>
        <v>7.6923076923076927E-2</v>
      </c>
      <c r="P88" s="38">
        <v>180</v>
      </c>
      <c r="Q88" s="38">
        <v>60</v>
      </c>
      <c r="R88" s="275">
        <v>30</v>
      </c>
      <c r="S88" s="275">
        <v>0.09</v>
      </c>
      <c r="T88" s="38">
        <f>ROUND((L88*I88+1.3*L88*K88+S88*H88),4)</f>
        <v>4797.2849999999999</v>
      </c>
      <c r="U88" s="38">
        <f>ROUND((M88*I88+1.3*M88*K88+S88*H88),4)</f>
        <v>4797.2849999999999</v>
      </c>
      <c r="V88" s="38">
        <f>ROUND((M88*I88+1.3*M88*K88+S88*H88),4)</f>
        <v>4797.2849999999999</v>
      </c>
      <c r="W88" s="38">
        <f>ROUND((L88*J88+1.3*L88*N88+S88*G88),4)</f>
        <v>13.23</v>
      </c>
      <c r="X88" s="38">
        <f>ROUND((M88*J88+1.3*M88*N88+S88*G88),4)</f>
        <v>13.23</v>
      </c>
      <c r="Y88" s="38">
        <f>ROUND((M88*J88+1.3*M88*N88+S88*G88),4)</f>
        <v>13.23</v>
      </c>
      <c r="Z88" s="276">
        <f>ROUND((P88*T88*F88*O88/1000000),4)</f>
        <v>1.7270000000000001</v>
      </c>
      <c r="AA88" s="276">
        <f>ROUND((Q88*U88*F88*O88/1000000),4)</f>
        <v>0.57569999999999999</v>
      </c>
      <c r="AB88" s="276">
        <f>ROUND((R88*V88*F88*O88/1000000),4)</f>
        <v>0.2878</v>
      </c>
      <c r="AC88" s="277" t="s">
        <v>165</v>
      </c>
      <c r="AD88" s="278" t="s">
        <v>144</v>
      </c>
      <c r="AE88" s="40">
        <f>ROUND((((X88*E88)/1800)*0.8),4)</f>
        <v>1.18E-2</v>
      </c>
      <c r="AF88" s="40">
        <f>ROUND(((Z88+AA88+AB88)*0.8),4)</f>
        <v>2.0724</v>
      </c>
      <c r="AG88" s="288"/>
      <c r="AH88" s="288"/>
      <c r="AI88" s="288"/>
    </row>
    <row r="89" spans="1:35" s="61" customFormat="1" ht="15" customHeight="1" x14ac:dyDescent="0.25">
      <c r="A89" s="260"/>
      <c r="B89" s="1634" t="s">
        <v>567</v>
      </c>
      <c r="C89" s="39"/>
      <c r="D89" s="39"/>
      <c r="E89" s="39"/>
      <c r="F89" s="39"/>
      <c r="G89" s="39"/>
      <c r="H89" s="39"/>
      <c r="I89" s="39"/>
      <c r="J89" s="39"/>
      <c r="K89" s="39"/>
      <c r="L89" s="119"/>
      <c r="M89" s="119"/>
      <c r="N89" s="39"/>
      <c r="O89" s="39"/>
      <c r="P89" s="39"/>
      <c r="Q89" s="39"/>
      <c r="R89" s="39"/>
      <c r="S89" s="281"/>
      <c r="T89" s="39"/>
      <c r="U89" s="39"/>
      <c r="V89" s="39"/>
      <c r="W89" s="39"/>
      <c r="X89" s="39"/>
      <c r="Y89" s="39"/>
      <c r="Z89" s="39"/>
      <c r="AA89" s="39"/>
      <c r="AB89" s="39"/>
      <c r="AC89" s="277" t="s">
        <v>166</v>
      </c>
      <c r="AD89" s="278" t="s">
        <v>167</v>
      </c>
      <c r="AE89" s="40">
        <f>ROUND((((X88*E88)/1800)*0.13),4)</f>
        <v>1.9E-3</v>
      </c>
      <c r="AF89" s="40">
        <f>ROUND(((Z88+AA88+AB88)*0.13),4)</f>
        <v>0.33679999999999999</v>
      </c>
      <c r="AG89" s="288"/>
      <c r="AH89" s="288"/>
      <c r="AI89" s="288"/>
    </row>
    <row r="90" spans="1:35" s="61" customFormat="1" ht="15" customHeight="1" x14ac:dyDescent="0.25">
      <c r="A90" s="260"/>
      <c r="B90" s="1634"/>
      <c r="C90" s="283"/>
      <c r="D90" s="283"/>
      <c r="E90" s="39"/>
      <c r="F90" s="39"/>
      <c r="G90" s="39"/>
      <c r="H90" s="39"/>
      <c r="I90" s="39"/>
      <c r="J90" s="39"/>
      <c r="K90" s="39"/>
      <c r="L90" s="40">
        <v>0.8</v>
      </c>
      <c r="M90" s="40">
        <v>0.98</v>
      </c>
      <c r="N90" s="39"/>
      <c r="O90" s="39"/>
      <c r="P90" s="39"/>
      <c r="Q90" s="39"/>
      <c r="R90" s="39"/>
      <c r="S90" s="284">
        <v>1.7999999999999999E-2</v>
      </c>
      <c r="T90" s="38">
        <f>ROUND((L90*I88+1.3*L90*K88+S90*H88),4)</f>
        <v>8157.48</v>
      </c>
      <c r="U90" s="38">
        <f>ROUND((M90*0.9*I88+1.3*M90*0.9*K88+S90*H88),4)</f>
        <v>8993.5110000000004</v>
      </c>
      <c r="V90" s="38">
        <f>ROUND((M90*I88+1.3*M90*K88+S90*H88),4)</f>
        <v>9992.67</v>
      </c>
      <c r="W90" s="38">
        <f>ROUND((L90*J88+1.3*L90*N88+S90*G88),4)</f>
        <v>21.707999999999998</v>
      </c>
      <c r="X90" s="38">
        <f>ROUND((M90*0.9*J88+1.3*M90*0.9*N88+S90*G88),4)</f>
        <v>23.922000000000001</v>
      </c>
      <c r="Y90" s="38">
        <f>ROUND((M90*J88+1.3*M90*N88+S90*G88),4)</f>
        <v>26.568000000000001</v>
      </c>
      <c r="Z90" s="276">
        <f>ROUND((P88*T90*F88*O88/1000000),4)</f>
        <v>2.9367000000000001</v>
      </c>
      <c r="AA90" s="276">
        <f>ROUND((Q88*U90*F88*O88/1000000),4)</f>
        <v>1.0791999999999999</v>
      </c>
      <c r="AB90" s="276">
        <f>ROUND((R88*V90*F88*O88/1000000),4)</f>
        <v>0.59960000000000002</v>
      </c>
      <c r="AC90" s="277" t="s">
        <v>547</v>
      </c>
      <c r="AD90" s="278" t="s">
        <v>169</v>
      </c>
      <c r="AE90" s="40">
        <f>ROUND((((X90*E88)/1800)),4)</f>
        <v>2.6599999999999999E-2</v>
      </c>
      <c r="AF90" s="40">
        <f>ROUND(((Z90+AA90+AB90)),5)</f>
        <v>4.6154999999999999</v>
      </c>
      <c r="AG90" s="288"/>
      <c r="AH90" s="288"/>
      <c r="AI90" s="288"/>
    </row>
    <row r="91" spans="1:35" s="61" customFormat="1" ht="15" customHeight="1" x14ac:dyDescent="0.25">
      <c r="A91" s="260"/>
      <c r="B91" s="288"/>
      <c r="C91" s="39"/>
      <c r="D91" s="39"/>
      <c r="E91" s="39"/>
      <c r="F91" s="39"/>
      <c r="G91" s="39"/>
      <c r="H91" s="39"/>
      <c r="I91" s="39"/>
      <c r="J91" s="39"/>
      <c r="K91" s="39"/>
      <c r="L91" s="40">
        <v>0.08</v>
      </c>
      <c r="M91" s="40">
        <v>0.1</v>
      </c>
      <c r="N91" s="39"/>
      <c r="O91" s="39"/>
      <c r="P91" s="39"/>
      <c r="Q91" s="39"/>
      <c r="R91" s="39"/>
      <c r="S91" s="285">
        <v>0.06</v>
      </c>
      <c r="T91" s="38">
        <f>ROUND((L91*I88+1.3*L91*K88+S91*H88),4)</f>
        <v>819.24</v>
      </c>
      <c r="U91" s="38">
        <f>ROUND((M91*0.9*I88+1.3*M91*0.9*K88+S91*H88),4)</f>
        <v>921.19500000000005</v>
      </c>
      <c r="V91" s="38">
        <f>ROUND((M91*I88+1.3*M91*K88+S91*H88),4)</f>
        <v>1023.15</v>
      </c>
      <c r="W91" s="38">
        <f>ROUND((L91*J88+1.3*L91*N88+S91*G88),4)</f>
        <v>2.52</v>
      </c>
      <c r="X91" s="38">
        <f>ROUND((M91*0.9*J88+1.3*M91*0.9*N88+S91*G88),4)</f>
        <v>2.79</v>
      </c>
      <c r="Y91" s="38">
        <f>ROUND((M91*J88+1.3*N88+S91*G88),4)</f>
        <v>14.76</v>
      </c>
      <c r="Z91" s="276">
        <f>ROUND((P88*T91*F88*O88/1000000),4)</f>
        <v>0.2949</v>
      </c>
      <c r="AA91" s="276">
        <f>ROUND((Q88*U91*F88*O88/1000000),4)</f>
        <v>0.1105</v>
      </c>
      <c r="AB91" s="276">
        <f>ROUND((R88*V91*F88*O88/1000000),4)</f>
        <v>6.1400000000000003E-2</v>
      </c>
      <c r="AC91" s="277" t="s">
        <v>548</v>
      </c>
      <c r="AD91" s="278" t="s">
        <v>549</v>
      </c>
      <c r="AE91" s="40">
        <f>ROUND((((X91*E88)/1800)),4)</f>
        <v>3.0999999999999999E-3</v>
      </c>
      <c r="AF91" s="40">
        <f>ROUND(((Z91+AA91+AB91)),4)</f>
        <v>0.46679999999999999</v>
      </c>
      <c r="AG91" s="288"/>
      <c r="AH91" s="288"/>
      <c r="AI91" s="288"/>
    </row>
    <row r="92" spans="1:35" s="61" customFormat="1" ht="15" customHeight="1" x14ac:dyDescent="0.25">
      <c r="A92" s="260"/>
      <c r="B92" s="280"/>
      <c r="C92" s="39"/>
      <c r="D92" s="39"/>
      <c r="E92" s="39"/>
      <c r="F92" s="39"/>
      <c r="G92" s="39"/>
      <c r="H92" s="39"/>
      <c r="I92" s="39"/>
      <c r="J92" s="39"/>
      <c r="K92" s="39"/>
      <c r="L92" s="40">
        <v>0.05</v>
      </c>
      <c r="M92" s="40">
        <v>7.0000000000000007E-2</v>
      </c>
      <c r="N92" s="39"/>
      <c r="O92" s="39"/>
      <c r="P92" s="39"/>
      <c r="Q92" s="39"/>
      <c r="R92" s="39"/>
      <c r="S92" s="285">
        <v>0.01</v>
      </c>
      <c r="T92" s="38">
        <f>ROUND((L92*I88+1.3*L92*K88+S92*H88),4)</f>
        <v>510.375</v>
      </c>
      <c r="U92" s="38">
        <f>ROUND((M92*0.9*I88+1.3*M92*0.9*K88+S92*H88),4)</f>
        <v>642.91650000000004</v>
      </c>
      <c r="V92" s="38">
        <f>ROUND((M92*I88+1.3*M92*K88+S92*H88),4)</f>
        <v>714.28499999999997</v>
      </c>
      <c r="W92" s="38">
        <f>ROUND((L92*J88+1.3*L92*N88+S92*G88),4)</f>
        <v>1.41</v>
      </c>
      <c r="X92" s="38">
        <f>ROUND((M92*0.9*J88+1.3*M92*0.9*N88+S92*G88),4)</f>
        <v>1.7609999999999999</v>
      </c>
      <c r="Y92" s="38">
        <f>ROUND((M92*J88+1.3*M92*N88+S92*G88),4)</f>
        <v>1.95</v>
      </c>
      <c r="Z92" s="276">
        <f>ROUND((P88*T92*F88*O88/1000000),4)</f>
        <v>0.1837</v>
      </c>
      <c r="AA92" s="276">
        <f>ROUND((Q88*U92*F88*O88/1000000),4)</f>
        <v>7.7100000000000002E-2</v>
      </c>
      <c r="AB92" s="276">
        <f>ROUND((R88*V92*F88*O88/1000000),4)</f>
        <v>4.2900000000000001E-2</v>
      </c>
      <c r="AC92" s="277" t="s">
        <v>172</v>
      </c>
      <c r="AD92" s="278" t="s">
        <v>173</v>
      </c>
      <c r="AE92" s="40">
        <f>ROUND((((X92*E88)/1800)),4)</f>
        <v>2E-3</v>
      </c>
      <c r="AF92" s="40">
        <f>ROUND(((Z92+AA92+AB92)),4)</f>
        <v>0.30370000000000003</v>
      </c>
      <c r="AG92" s="288"/>
      <c r="AH92" s="288"/>
      <c r="AI92" s="288"/>
    </row>
    <row r="93" spans="1:35" s="61" customFormat="1" ht="15" customHeight="1" x14ac:dyDescent="0.25">
      <c r="A93" s="260"/>
      <c r="B93" s="286"/>
      <c r="C93" s="119"/>
      <c r="D93" s="119"/>
      <c r="E93" s="119"/>
      <c r="F93" s="119"/>
      <c r="G93" s="119"/>
      <c r="H93" s="119"/>
      <c r="I93" s="119"/>
      <c r="J93" s="119"/>
      <c r="K93" s="119"/>
      <c r="L93" s="40">
        <v>3.5999999999999997E-2</v>
      </c>
      <c r="M93" s="40">
        <v>4.3999999999999997E-2</v>
      </c>
      <c r="N93" s="119"/>
      <c r="O93" s="119"/>
      <c r="P93" s="119"/>
      <c r="Q93" s="119"/>
      <c r="R93" s="119"/>
      <c r="S93" s="285">
        <v>0.45</v>
      </c>
      <c r="T93" s="38">
        <f>ROUND((L93*I88+1.3*L93*K88+S93*H88),4)</f>
        <v>394.03800000000001</v>
      </c>
      <c r="U93" s="38">
        <f>ROUND((M93*0.9*I88+1.3*M93*0.9*K88+S93*H88),4)</f>
        <v>430.74180000000001</v>
      </c>
      <c r="V93" s="38">
        <f>ROUND((M93*I88+1.3*M93*K88+S93*H88),4)</f>
        <v>475.60199999999998</v>
      </c>
      <c r="W93" s="38">
        <f>ROUND((L93*J88+1.3*L93*N88+S93*G88),4)</f>
        <v>3.6720000000000002</v>
      </c>
      <c r="X93" s="38">
        <f>ROUND((M93*0.9*J88+1.3*M93*0.9*N88+S93*G88),4)</f>
        <v>3.7692000000000001</v>
      </c>
      <c r="Y93" s="38">
        <f>ROUND((M93*J88+1.3*M93*N88+S93*G88),4)</f>
        <v>3.8879999999999999</v>
      </c>
      <c r="Z93" s="276">
        <f>ROUND((P88*T93*F88*O88/1000000),4)</f>
        <v>0.1419</v>
      </c>
      <c r="AA93" s="276">
        <f>ROUND((Q88*U93*F88*O88/1000000),4)</f>
        <v>5.1700000000000003E-2</v>
      </c>
      <c r="AB93" s="276">
        <f>ROUND((R88*V93*F88*O88/1000000),4)</f>
        <v>2.8500000000000001E-2</v>
      </c>
      <c r="AC93" s="277" t="s">
        <v>157</v>
      </c>
      <c r="AD93" s="278" t="s">
        <v>153</v>
      </c>
      <c r="AE93" s="40">
        <f>ROUND((((X93*E88)/1800)),4)</f>
        <v>4.1999999999999997E-3</v>
      </c>
      <c r="AF93" s="40">
        <f>ROUND(((Z93+AA93+AB93)),4)</f>
        <v>0.22209999999999999</v>
      </c>
      <c r="AG93" s="288"/>
      <c r="AH93" s="288"/>
      <c r="AI93" s="288"/>
    </row>
    <row r="94" spans="1:35" s="61" customFormat="1" ht="15" customHeight="1" x14ac:dyDescent="0.25">
      <c r="A94" s="260"/>
      <c r="B94" s="274" t="s">
        <v>583</v>
      </c>
      <c r="C94" s="274">
        <v>6</v>
      </c>
      <c r="D94" s="38" t="s">
        <v>556</v>
      </c>
      <c r="E94" s="38">
        <v>1</v>
      </c>
      <c r="F94" s="38">
        <v>2</v>
      </c>
      <c r="G94" s="38">
        <v>6</v>
      </c>
      <c r="H94" s="38">
        <v>60</v>
      </c>
      <c r="I94" s="38">
        <f>(8-1-0.75*2)*60*F94-K94-8*0.12*60</f>
        <v>173.4</v>
      </c>
      <c r="J94" s="38">
        <v>14</v>
      </c>
      <c r="K94" s="38">
        <f>(8-1-0.75*2)*0.65*60*F94</f>
        <v>429</v>
      </c>
      <c r="L94" s="38">
        <v>6.47</v>
      </c>
      <c r="M94" s="38">
        <v>6.47</v>
      </c>
      <c r="N94" s="38">
        <v>10</v>
      </c>
      <c r="O94" s="38">
        <f>E94/F94</f>
        <v>0.5</v>
      </c>
      <c r="P94" s="38">
        <v>180</v>
      </c>
      <c r="Q94" s="38">
        <v>60</v>
      </c>
      <c r="R94" s="275">
        <v>30</v>
      </c>
      <c r="S94" s="275">
        <v>1.27</v>
      </c>
      <c r="T94" s="38">
        <f>ROUND((L94*I94+1.3*L94*K94+S94*H94),4)</f>
        <v>4806.4170000000004</v>
      </c>
      <c r="U94" s="38">
        <f>ROUND((M94*I94+1.3*M94*K94+S94*H94),4)</f>
        <v>4806.4170000000004</v>
      </c>
      <c r="V94" s="38">
        <f>ROUND((M94*I94+1.3*M94*K94+S94*H94),4)</f>
        <v>4806.4170000000004</v>
      </c>
      <c r="W94" s="38">
        <f>ROUND((L94*J94+1.3*L94*N94+S94*G94),4)</f>
        <v>182.31</v>
      </c>
      <c r="X94" s="38">
        <f>ROUND((M94*J94+1.3*M94*N94+S94*G94),4)</f>
        <v>182.31</v>
      </c>
      <c r="Y94" s="38">
        <f>ROUND((M94*J94+1.3*M94*N94+S94*G94),4)</f>
        <v>182.31</v>
      </c>
      <c r="Z94" s="276">
        <f>ROUND((P94*T94*F94*O94/1000000),4)</f>
        <v>0.86519999999999997</v>
      </c>
      <c r="AA94" s="276">
        <f>ROUND((Q94*U94*F94*O94/1000000),4)</f>
        <v>0.28839999999999999</v>
      </c>
      <c r="AB94" s="276">
        <f>ROUND((R94*V94*F94*O94/1000000),4)</f>
        <v>0.14419999999999999</v>
      </c>
      <c r="AC94" s="277" t="s">
        <v>165</v>
      </c>
      <c r="AD94" s="278" t="s">
        <v>144</v>
      </c>
      <c r="AE94" s="40">
        <f>ROUND((((X94*E94)/1800)*0.8),4)</f>
        <v>8.1000000000000003E-2</v>
      </c>
      <c r="AF94" s="40">
        <f>ROUND(((Z94+AA94+AB94)*0.8),4)</f>
        <v>1.0382</v>
      </c>
      <c r="AG94" s="288"/>
      <c r="AH94" s="288"/>
      <c r="AI94" s="288"/>
    </row>
    <row r="95" spans="1:35" s="61" customFormat="1" ht="15" customHeight="1" x14ac:dyDescent="0.25">
      <c r="A95" s="260"/>
      <c r="B95" s="1634" t="s">
        <v>584</v>
      </c>
      <c r="C95" s="39"/>
      <c r="D95" s="39"/>
      <c r="E95" s="39"/>
      <c r="F95" s="39"/>
      <c r="G95" s="39"/>
      <c r="H95" s="39"/>
      <c r="I95" s="39"/>
      <c r="J95" s="39"/>
      <c r="K95" s="39"/>
      <c r="L95" s="119"/>
      <c r="M95" s="119"/>
      <c r="N95" s="39"/>
      <c r="O95" s="39"/>
      <c r="P95" s="39"/>
      <c r="Q95" s="39"/>
      <c r="R95" s="39"/>
      <c r="S95" s="281"/>
      <c r="T95" s="39"/>
      <c r="U95" s="39"/>
      <c r="V95" s="39"/>
      <c r="W95" s="39"/>
      <c r="X95" s="39"/>
      <c r="Y95" s="39"/>
      <c r="Z95" s="39"/>
      <c r="AA95" s="39"/>
      <c r="AB95" s="39"/>
      <c r="AC95" s="277" t="s">
        <v>166</v>
      </c>
      <c r="AD95" s="278" t="s">
        <v>167</v>
      </c>
      <c r="AE95" s="40">
        <f>ROUND((((X94*E94)/1800)*0.13),4)</f>
        <v>1.32E-2</v>
      </c>
      <c r="AF95" s="40">
        <f>ROUND(((Z94+AA94+AB94)*0.13),4)</f>
        <v>0.16869999999999999</v>
      </c>
      <c r="AG95" s="288"/>
      <c r="AH95" s="288"/>
      <c r="AI95" s="288"/>
    </row>
    <row r="96" spans="1:35" s="61" customFormat="1" ht="15" customHeight="1" x14ac:dyDescent="0.25">
      <c r="A96" s="260"/>
      <c r="B96" s="1634"/>
      <c r="C96" s="283"/>
      <c r="D96" s="283"/>
      <c r="E96" s="39"/>
      <c r="F96" s="39"/>
      <c r="G96" s="39"/>
      <c r="H96" s="39"/>
      <c r="I96" s="39"/>
      <c r="J96" s="39"/>
      <c r="K96" s="39"/>
      <c r="L96" s="40">
        <v>0.51</v>
      </c>
      <c r="M96" s="40">
        <v>0.63</v>
      </c>
      <c r="N96" s="39"/>
      <c r="O96" s="39"/>
      <c r="P96" s="39"/>
      <c r="Q96" s="39"/>
      <c r="R96" s="39"/>
      <c r="S96" s="284">
        <v>0.25</v>
      </c>
      <c r="T96" s="38">
        <f>ROUND((L96*I94+1.3*L96*K94+S96*H94),4)</f>
        <v>387.86099999999999</v>
      </c>
      <c r="U96" s="38">
        <f>ROUND((M96*0.9*I94+1.3*M96*0.9*K94+S96*H94),4)</f>
        <v>429.53370000000001</v>
      </c>
      <c r="V96" s="38">
        <f>ROUND((M96*I94+1.3*M96*K94+S96*H94),4)</f>
        <v>475.59300000000002</v>
      </c>
      <c r="W96" s="38">
        <f>ROUND((L96*J94+1.3*L96*N94+S96*G94),4)</f>
        <v>15.27</v>
      </c>
      <c r="X96" s="38">
        <f>ROUND((M96*0.9*J94+1.3*M96*0.9*N94+S96*G94),4)</f>
        <v>16.809000000000001</v>
      </c>
      <c r="Y96" s="38">
        <f>ROUND((M96*J94+1.3*M96*N94+S96*G94),4)</f>
        <v>18.510000000000002</v>
      </c>
      <c r="Z96" s="276">
        <f>ROUND((P94*T96*F94*O94/1000000),4)</f>
        <v>6.9800000000000001E-2</v>
      </c>
      <c r="AA96" s="276">
        <f>ROUND((Q94*U96*F94*O94/1000000),4)</f>
        <v>2.58E-2</v>
      </c>
      <c r="AB96" s="276">
        <f>ROUND((R94*V96*F94*O94/1000000),4)</f>
        <v>1.43E-2</v>
      </c>
      <c r="AC96" s="277" t="s">
        <v>547</v>
      </c>
      <c r="AD96" s="278" t="s">
        <v>169</v>
      </c>
      <c r="AE96" s="40">
        <f>ROUND((((X96*E94)/1800)),4)</f>
        <v>9.2999999999999992E-3</v>
      </c>
      <c r="AF96" s="40">
        <f>ROUND(((Z96+AA96+AB96)),5)</f>
        <v>0.1099</v>
      </c>
      <c r="AG96" s="288"/>
      <c r="AH96" s="288"/>
      <c r="AI96" s="288"/>
    </row>
    <row r="97" spans="1:36" s="61" customFormat="1" ht="15" customHeight="1" x14ac:dyDescent="0.25">
      <c r="A97" s="260"/>
      <c r="B97" s="280"/>
      <c r="C97" s="39"/>
      <c r="D97" s="39"/>
      <c r="E97" s="39"/>
      <c r="F97" s="39"/>
      <c r="G97" s="39"/>
      <c r="H97" s="39"/>
      <c r="I97" s="39"/>
      <c r="J97" s="39"/>
      <c r="K97" s="39"/>
      <c r="L97" s="40">
        <v>1.1399999999999999</v>
      </c>
      <c r="M97" s="40">
        <v>1.37</v>
      </c>
      <c r="N97" s="39"/>
      <c r="O97" s="39"/>
      <c r="P97" s="39"/>
      <c r="Q97" s="39"/>
      <c r="R97" s="39"/>
      <c r="S97" s="285">
        <v>0.79</v>
      </c>
      <c r="T97" s="38">
        <f>ROUND((L97*I94+1.3*L97*K94+S97*H94),4)</f>
        <v>880.85400000000004</v>
      </c>
      <c r="U97" s="38">
        <f>ROUND((M97*0.9*I94+1.3*M97*0.9*K94+S97*H94),4)</f>
        <v>948.84630000000004</v>
      </c>
      <c r="V97" s="38">
        <f>ROUND((M97*I94+1.3*M97*K94+S97*H94),4)</f>
        <v>1049.0070000000001</v>
      </c>
      <c r="W97" s="38">
        <f>ROUND((L97*J94+1.3*L97*N94+S97*G94),4)</f>
        <v>35.520000000000003</v>
      </c>
      <c r="X97" s="38">
        <f>ROUND((M97*0.9*J94+1.3*M97*0.9*N94+S97*G94),4)</f>
        <v>38.030999999999999</v>
      </c>
      <c r="Y97" s="38">
        <f>ROUND((M97*J94+1.3*N94+S97*G94),4)</f>
        <v>36.92</v>
      </c>
      <c r="Z97" s="276">
        <f>ROUND((P94*T97*F94*O94/1000000),4)</f>
        <v>0.15859999999999999</v>
      </c>
      <c r="AA97" s="276">
        <f>ROUND((Q94*U97*F94*O94/1000000),4)</f>
        <v>5.6899999999999999E-2</v>
      </c>
      <c r="AB97" s="276">
        <f>ROUND((R94*V97*F94*O94/1000000),4)</f>
        <v>3.15E-2</v>
      </c>
      <c r="AC97" s="277" t="s">
        <v>548</v>
      </c>
      <c r="AD97" s="278" t="s">
        <v>549</v>
      </c>
      <c r="AE97" s="40">
        <f>ROUND((((X97*E94)/1800)),4)</f>
        <v>2.1100000000000001E-2</v>
      </c>
      <c r="AF97" s="40">
        <f>ROUND(((Z97+AA97+AB97)),4)</f>
        <v>0.247</v>
      </c>
      <c r="AG97" s="288"/>
      <c r="AH97" s="288"/>
      <c r="AI97" s="288"/>
    </row>
    <row r="98" spans="1:36" s="61" customFormat="1" ht="15" customHeight="1" x14ac:dyDescent="0.25">
      <c r="A98" s="260"/>
      <c r="B98" s="280"/>
      <c r="C98" s="39"/>
      <c r="D98" s="39"/>
      <c r="E98" s="39"/>
      <c r="F98" s="39"/>
      <c r="G98" s="39"/>
      <c r="H98" s="39"/>
      <c r="I98" s="39"/>
      <c r="J98" s="39"/>
      <c r="K98" s="39"/>
      <c r="L98" s="40">
        <v>0.72</v>
      </c>
      <c r="M98" s="40">
        <v>1.08</v>
      </c>
      <c r="N98" s="39"/>
      <c r="O98" s="39"/>
      <c r="P98" s="39"/>
      <c r="Q98" s="39"/>
      <c r="R98" s="39"/>
      <c r="S98" s="285">
        <v>0.17</v>
      </c>
      <c r="T98" s="38">
        <f>ROUND((L98*I94+1.3*L98*K94+S98*H94),4)</f>
        <v>536.59199999999998</v>
      </c>
      <c r="U98" s="38">
        <f>ROUND((M98*0.9*I94+1.3*M98*0.9*K94+S98*H94),4)</f>
        <v>720.82920000000001</v>
      </c>
      <c r="V98" s="38">
        <f>ROUND((M98*I94+1.3*M98*K94+S98*H94),4)</f>
        <v>799.78800000000001</v>
      </c>
      <c r="W98" s="38">
        <f>ROUND((L98*J94+1.3*L98*N94+S98*G94),4)</f>
        <v>20.46</v>
      </c>
      <c r="X98" s="38">
        <f>ROUND((M98*0.9*J94+1.3*M98*0.9*N94+S98*G94),4)</f>
        <v>27.263999999999999</v>
      </c>
      <c r="Y98" s="38">
        <f>ROUND((M98*J94+1.3*M98*N94+S98*G94),4)</f>
        <v>30.18</v>
      </c>
      <c r="Z98" s="276">
        <f>ROUND((P94*T98*F94*O94/1000000),4)</f>
        <v>9.6600000000000005E-2</v>
      </c>
      <c r="AA98" s="276">
        <f>ROUND((Q94*U98*F94*O94/1000000),4)</f>
        <v>4.3200000000000002E-2</v>
      </c>
      <c r="AB98" s="276">
        <f>ROUND((R94*V98*F94*O94/1000000),4)</f>
        <v>2.4E-2</v>
      </c>
      <c r="AC98" s="277" t="s">
        <v>172</v>
      </c>
      <c r="AD98" s="278" t="s">
        <v>173</v>
      </c>
      <c r="AE98" s="40">
        <f>ROUND((((X98*E94)/1800)),4)</f>
        <v>1.5100000000000001E-2</v>
      </c>
      <c r="AF98" s="40">
        <f>ROUND(((Z98+AA98+AB98)),4)</f>
        <v>0.1638</v>
      </c>
      <c r="AG98" s="288"/>
      <c r="AH98" s="288"/>
      <c r="AI98" s="288"/>
    </row>
    <row r="99" spans="1:36" s="61" customFormat="1" ht="15" customHeight="1" x14ac:dyDescent="0.25">
      <c r="A99" s="260"/>
      <c r="B99" s="286"/>
      <c r="C99" s="119"/>
      <c r="D99" s="119"/>
      <c r="E99" s="119"/>
      <c r="F99" s="119"/>
      <c r="G99" s="119"/>
      <c r="H99" s="119"/>
      <c r="I99" s="119"/>
      <c r="J99" s="119"/>
      <c r="K99" s="119"/>
      <c r="L99" s="40">
        <v>3.37</v>
      </c>
      <c r="M99" s="40">
        <v>4.1100000000000003</v>
      </c>
      <c r="N99" s="119"/>
      <c r="O99" s="119"/>
      <c r="P99" s="119"/>
      <c r="Q99" s="119"/>
      <c r="R99" s="119"/>
      <c r="S99" s="285">
        <v>6.31</v>
      </c>
      <c r="T99" s="38">
        <f>ROUND((L99*I94+1.3*L99*K94+S99*H94),4)</f>
        <v>2842.4070000000002</v>
      </c>
      <c r="U99" s="38">
        <f>ROUND((M99*0.9*I94+1.3*M99*0.9*K94+S99*H94),4)</f>
        <v>3082.9389000000001</v>
      </c>
      <c r="V99" s="38">
        <f>ROUND((M99*I94+1.3*M99*K94+S99*H94),4)</f>
        <v>3383.4209999999998</v>
      </c>
      <c r="W99" s="38">
        <f>ROUND((L99*J94+1.3*L99*N94+S99*G94),4)</f>
        <v>128.85</v>
      </c>
      <c r="X99" s="38">
        <f>ROUND((M99*0.9*J94+1.3*M99*0.9*N94+S99*G94),4)</f>
        <v>137.733</v>
      </c>
      <c r="Y99" s="38">
        <f>ROUND((M99*J94+1.3*M99*N94+S99*G94),4)</f>
        <v>148.83000000000001</v>
      </c>
      <c r="Z99" s="276">
        <f>ROUND((P94*T99*F94*O94/1000000),4)</f>
        <v>0.51160000000000005</v>
      </c>
      <c r="AA99" s="276">
        <f>ROUND((Q94*U99*F94*O94/1000000),4)</f>
        <v>0.185</v>
      </c>
      <c r="AB99" s="276">
        <f>ROUND((R94*V99*F94*O94/1000000),4)</f>
        <v>0.10150000000000001</v>
      </c>
      <c r="AC99" s="277" t="s">
        <v>157</v>
      </c>
      <c r="AD99" s="278" t="s">
        <v>153</v>
      </c>
      <c r="AE99" s="40">
        <f>ROUND((((X99*E94)/1800)),4)</f>
        <v>7.6499999999999999E-2</v>
      </c>
      <c r="AF99" s="40">
        <f>ROUND(((Z99+AA99+AB99)),4)</f>
        <v>0.79810000000000003</v>
      </c>
      <c r="AG99" s="288"/>
      <c r="AH99" s="288"/>
      <c r="AI99" s="288"/>
    </row>
    <row r="100" spans="1:36" s="61" customFormat="1" ht="15" customHeight="1" x14ac:dyDescent="0.25">
      <c r="A100" s="260"/>
      <c r="B100" s="1638" t="s">
        <v>1016</v>
      </c>
      <c r="C100" s="38">
        <v>3</v>
      </c>
      <c r="D100" s="38" t="s">
        <v>579</v>
      </c>
      <c r="E100" s="38">
        <v>2</v>
      </c>
      <c r="F100" s="38">
        <v>14</v>
      </c>
      <c r="G100" s="38">
        <v>6</v>
      </c>
      <c r="H100" s="38">
        <v>60</v>
      </c>
      <c r="I100" s="38">
        <f>(8-1-0.75*2)*60*F100-K100-8*0.12*60</f>
        <v>1559.4</v>
      </c>
      <c r="J100" s="38">
        <v>14</v>
      </c>
      <c r="K100" s="38">
        <f>(8-1-0.75*2)*0.65*60*F100</f>
        <v>3003</v>
      </c>
      <c r="L100" s="38">
        <v>1.49</v>
      </c>
      <c r="M100" s="38">
        <v>1.49</v>
      </c>
      <c r="N100" s="38">
        <v>10</v>
      </c>
      <c r="O100" s="38">
        <f>E100/F100</f>
        <v>0.14285714285714285</v>
      </c>
      <c r="P100" s="38">
        <v>180</v>
      </c>
      <c r="Q100" s="38">
        <v>60</v>
      </c>
      <c r="R100" s="275">
        <v>30</v>
      </c>
      <c r="S100" s="275">
        <v>0.28999999999999998</v>
      </c>
      <c r="T100" s="38">
        <f>ROUND((L100*I100+1.3*L100*K100+S100*H100),4)</f>
        <v>8157.7169999999996</v>
      </c>
      <c r="U100" s="38">
        <f>ROUND((M100*I100+1.3*M100*K100+S100*H100),4)</f>
        <v>8157.7169999999996</v>
      </c>
      <c r="V100" s="38">
        <f>ROUND((M100*I100+1.3*M100*K100+S100*H100),4)</f>
        <v>8157.7169999999996</v>
      </c>
      <c r="W100" s="38">
        <f>ROUND((L100*J100+1.3*L100*N100+S100*G100),4)</f>
        <v>41.97</v>
      </c>
      <c r="X100" s="38">
        <f>ROUND((M100*J100+1.3*M100*N100+S100*G100),4)</f>
        <v>41.97</v>
      </c>
      <c r="Y100" s="38">
        <f>ROUND((M100*J100+1.3*M100*N100+S100*G100),4)</f>
        <v>41.97</v>
      </c>
      <c r="Z100" s="276">
        <f>ROUND((P100*T100*F100*O100/1000000),4)</f>
        <v>2.9367999999999999</v>
      </c>
      <c r="AA100" s="276">
        <f>ROUND((Q100*U100*F100*O100/1000000),4)</f>
        <v>0.97889999999999999</v>
      </c>
      <c r="AB100" s="276">
        <f>ROUND((R100*V100*F100*O100/1000000),4)</f>
        <v>0.48949999999999999</v>
      </c>
      <c r="AC100" s="277" t="s">
        <v>165</v>
      </c>
      <c r="AD100" s="278" t="s">
        <v>144</v>
      </c>
      <c r="AE100" s="40">
        <f>ROUND((((X100*E100)/1800)*0.8),4)</f>
        <v>3.73E-2</v>
      </c>
      <c r="AF100" s="40">
        <f>ROUND(((Z100+AA100+AB100)*0.8),4)</f>
        <v>3.5242</v>
      </c>
      <c r="AG100" s="288"/>
      <c r="AH100" s="288"/>
      <c r="AI100" s="288"/>
      <c r="AJ100" s="288"/>
    </row>
    <row r="101" spans="1:36" s="61" customFormat="1" ht="15" customHeight="1" x14ac:dyDescent="0.25">
      <c r="A101" s="260"/>
      <c r="B101" s="1639"/>
      <c r="C101" s="39"/>
      <c r="D101" s="39"/>
      <c r="E101" s="39"/>
      <c r="F101" s="39"/>
      <c r="G101" s="39"/>
      <c r="H101" s="39"/>
      <c r="I101" s="39"/>
      <c r="J101" s="39"/>
      <c r="K101" s="39"/>
      <c r="L101" s="119"/>
      <c r="M101" s="119"/>
      <c r="N101" s="39"/>
      <c r="O101" s="39"/>
      <c r="P101" s="39"/>
      <c r="Q101" s="39"/>
      <c r="R101" s="39"/>
      <c r="S101" s="281"/>
      <c r="T101" s="39"/>
      <c r="U101" s="39"/>
      <c r="V101" s="39"/>
      <c r="W101" s="39"/>
      <c r="X101" s="39"/>
      <c r="Y101" s="39"/>
      <c r="Z101" s="39"/>
      <c r="AA101" s="39"/>
      <c r="AB101" s="39"/>
      <c r="AC101" s="277" t="s">
        <v>166</v>
      </c>
      <c r="AD101" s="278" t="s">
        <v>167</v>
      </c>
      <c r="AE101" s="40">
        <f>ROUND((((X100*E100)/1800)*0.13),4)</f>
        <v>6.1000000000000004E-3</v>
      </c>
      <c r="AF101" s="40">
        <f>ROUND(((Z100+AA100+AB100)*0.13),4)</f>
        <v>0.57269999999999999</v>
      </c>
      <c r="AG101" s="288"/>
      <c r="AH101" s="288"/>
      <c r="AI101" s="288"/>
      <c r="AJ101" s="288"/>
    </row>
    <row r="102" spans="1:36" s="61" customFormat="1" ht="15" customHeight="1" x14ac:dyDescent="0.25">
      <c r="A102" s="260"/>
      <c r="B102" s="1634" t="s">
        <v>585</v>
      </c>
      <c r="C102" s="283"/>
      <c r="D102" s="283"/>
      <c r="E102" s="39"/>
      <c r="F102" s="39"/>
      <c r="G102" s="39"/>
      <c r="H102" s="39"/>
      <c r="I102" s="39"/>
      <c r="J102" s="39"/>
      <c r="K102" s="39"/>
      <c r="L102" s="40">
        <v>0.12</v>
      </c>
      <c r="M102" s="40">
        <v>0.15</v>
      </c>
      <c r="N102" s="39"/>
      <c r="O102" s="39"/>
      <c r="P102" s="39"/>
      <c r="Q102" s="39"/>
      <c r="R102" s="39"/>
      <c r="S102" s="284">
        <v>5.8000000000000003E-2</v>
      </c>
      <c r="T102" s="38">
        <f>ROUND((L102*I100+1.3*L102*K100+S102*H100),4)</f>
        <v>659.07600000000002</v>
      </c>
      <c r="U102" s="38">
        <f>ROUND((M102*0.9*I100+1.3*M102*0.9*K100+S102*H100),4)</f>
        <v>741.02549999999997</v>
      </c>
      <c r="V102" s="38">
        <f>ROUND((M102*I100+1.3*M102*K100+S102*H100),4)</f>
        <v>822.97500000000002</v>
      </c>
      <c r="W102" s="38">
        <f>ROUND((L102*J100+1.3*L102*N100+S102*G100),4)</f>
        <v>3.5880000000000001</v>
      </c>
      <c r="X102" s="38">
        <f>ROUND((M102*0.9*J100+1.3*M102*0.9*N100+S102*G100),4)</f>
        <v>3.9929999999999999</v>
      </c>
      <c r="Y102" s="38">
        <f>ROUND((M102*J100+1.3*M102*N100+S102*G100),4)</f>
        <v>4.3979999999999997</v>
      </c>
      <c r="Z102" s="276">
        <f>ROUND((P100*T102*F100*O100/1000000),4)</f>
        <v>0.23730000000000001</v>
      </c>
      <c r="AA102" s="276">
        <f>ROUND((Q100*U102*F100*O100/1000000),4)</f>
        <v>8.8900000000000007E-2</v>
      </c>
      <c r="AB102" s="276">
        <f>ROUND((R100*V102*F100*O100/1000000),4)</f>
        <v>4.9399999999999999E-2</v>
      </c>
      <c r="AC102" s="277" t="s">
        <v>547</v>
      </c>
      <c r="AD102" s="278" t="s">
        <v>169</v>
      </c>
      <c r="AE102" s="40">
        <f>ROUND((((X102*E100)/1800)),4)</f>
        <v>4.4000000000000003E-3</v>
      </c>
      <c r="AF102" s="40">
        <f>ROUND(((Z102+AA102+AB102)),5)</f>
        <v>0.37559999999999999</v>
      </c>
      <c r="AG102" s="288"/>
      <c r="AH102" s="288"/>
      <c r="AI102" s="288"/>
      <c r="AJ102" s="288"/>
    </row>
    <row r="103" spans="1:36" s="61" customFormat="1" ht="15" customHeight="1" x14ac:dyDescent="0.25">
      <c r="A103" s="260"/>
      <c r="B103" s="1634"/>
      <c r="C103" s="39"/>
      <c r="D103" s="39"/>
      <c r="E103" s="39"/>
      <c r="F103" s="39"/>
      <c r="G103" s="39"/>
      <c r="H103" s="39"/>
      <c r="I103" s="39"/>
      <c r="J103" s="39"/>
      <c r="K103" s="39"/>
      <c r="L103" s="40">
        <v>0.26</v>
      </c>
      <c r="M103" s="40">
        <v>0.31</v>
      </c>
      <c r="N103" s="39"/>
      <c r="O103" s="39"/>
      <c r="P103" s="39"/>
      <c r="Q103" s="39"/>
      <c r="R103" s="39"/>
      <c r="S103" s="285">
        <v>0.18</v>
      </c>
      <c r="T103" s="38">
        <f>ROUND((L103*I100+1.3*L103*K100+S103*H100),4)</f>
        <v>1431.258</v>
      </c>
      <c r="U103" s="38">
        <f>ROUND((M103*0.9*I100+1.3*M103*0.9*K100+S103*H100),4)</f>
        <v>1535.0607</v>
      </c>
      <c r="V103" s="38">
        <f>ROUND((M103*I100+1.3*M103*K100+S103*H100),4)</f>
        <v>1704.423</v>
      </c>
      <c r="W103" s="38">
        <f>ROUND((L103*J100+1.3*L103*N100+S103*G100),4)</f>
        <v>8.1</v>
      </c>
      <c r="X103" s="38">
        <f>ROUND((M103*0.9*J100+1.3*M103*0.9*N100+S103*G100),4)</f>
        <v>8.6129999999999995</v>
      </c>
      <c r="Y103" s="38">
        <f>ROUND((M103*J100+1.3*N100+S103*G100),4)</f>
        <v>18.420000000000002</v>
      </c>
      <c r="Z103" s="276">
        <f>ROUND((P100*T103*F100*O100/1000000),4)</f>
        <v>0.51529999999999998</v>
      </c>
      <c r="AA103" s="276">
        <f>ROUND((Q100*U103*F100*O100/1000000),4)</f>
        <v>0.1842</v>
      </c>
      <c r="AB103" s="276">
        <f>ROUND((R100*V103*F100*O100/1000000),4)</f>
        <v>0.1023</v>
      </c>
      <c r="AC103" s="277" t="s">
        <v>548</v>
      </c>
      <c r="AD103" s="278" t="s">
        <v>549</v>
      </c>
      <c r="AE103" s="40">
        <f>ROUND((((X103*E100)/1800)),4)</f>
        <v>9.5999999999999992E-3</v>
      </c>
      <c r="AF103" s="40">
        <f>ROUND(((Z103+AA103+AB103)),4)</f>
        <v>0.80179999999999996</v>
      </c>
      <c r="AG103" s="288"/>
      <c r="AH103" s="288"/>
      <c r="AI103" s="288"/>
      <c r="AJ103" s="288"/>
    </row>
    <row r="104" spans="1:36" s="61" customFormat="1" ht="15" customHeight="1" x14ac:dyDescent="0.25">
      <c r="A104" s="260"/>
      <c r="B104" s="280"/>
      <c r="C104" s="39"/>
      <c r="D104" s="39"/>
      <c r="E104" s="39"/>
      <c r="F104" s="39"/>
      <c r="G104" s="39"/>
      <c r="H104" s="39"/>
      <c r="I104" s="39"/>
      <c r="J104" s="39"/>
      <c r="K104" s="39"/>
      <c r="L104" s="40">
        <v>0.17</v>
      </c>
      <c r="M104" s="40">
        <v>0.25</v>
      </c>
      <c r="N104" s="39"/>
      <c r="O104" s="39"/>
      <c r="P104" s="39"/>
      <c r="Q104" s="39"/>
      <c r="R104" s="39"/>
      <c r="S104" s="285">
        <v>0.04</v>
      </c>
      <c r="T104" s="38">
        <f>ROUND((L104*I100+1.3*L104*K100+S104*H100),4)</f>
        <v>931.16099999999994</v>
      </c>
      <c r="U104" s="38">
        <f>ROUND((M104*0.9*I100+1.3*M104*0.9*K100+S104*H100),4)</f>
        <v>1231.6424999999999</v>
      </c>
      <c r="V104" s="38">
        <f>ROUND((M104*I100+1.3*M104*K100+S104*H100),4)</f>
        <v>1368.2249999999999</v>
      </c>
      <c r="W104" s="38">
        <f>ROUND((L104*J100+1.3*L104*N100+S104*G100),4)</f>
        <v>4.83</v>
      </c>
      <c r="X104" s="38">
        <f>ROUND((M104*0.9*J100+1.3*M104*0.9*N100+S104*G100),4)</f>
        <v>6.3150000000000004</v>
      </c>
      <c r="Y104" s="38">
        <f>ROUND((M104*J100+1.3*M104*N100+S104*G100),4)</f>
        <v>6.99</v>
      </c>
      <c r="Z104" s="276">
        <f>ROUND((P100*T104*F100*O100/1000000),4)</f>
        <v>0.3352</v>
      </c>
      <c r="AA104" s="276">
        <f>ROUND((Q100*U104*F100*O100/1000000),4)</f>
        <v>0.14779999999999999</v>
      </c>
      <c r="AB104" s="276">
        <f>ROUND((R100*V104*F100*O100/1000000),4)</f>
        <v>8.2100000000000006E-2</v>
      </c>
      <c r="AC104" s="277" t="s">
        <v>172</v>
      </c>
      <c r="AD104" s="278" t="s">
        <v>173</v>
      </c>
      <c r="AE104" s="40">
        <f>ROUND((((X104*E100)/1800)),4)</f>
        <v>7.0000000000000001E-3</v>
      </c>
      <c r="AF104" s="40">
        <f>ROUND(((Z104+AA104+AB104)),4)</f>
        <v>0.56510000000000005</v>
      </c>
      <c r="AG104" s="288"/>
      <c r="AH104" s="288"/>
      <c r="AI104" s="288"/>
      <c r="AJ104" s="288"/>
    </row>
    <row r="105" spans="1:36" s="61" customFormat="1" ht="15" customHeight="1" x14ac:dyDescent="0.25">
      <c r="A105" s="260"/>
      <c r="B105" s="286"/>
      <c r="C105" s="119"/>
      <c r="D105" s="119"/>
      <c r="E105" s="119"/>
      <c r="F105" s="119"/>
      <c r="G105" s="119"/>
      <c r="H105" s="119"/>
      <c r="I105" s="119"/>
      <c r="J105" s="119"/>
      <c r="K105" s="119"/>
      <c r="L105" s="40">
        <v>0.77</v>
      </c>
      <c r="M105" s="40">
        <v>0.94</v>
      </c>
      <c r="N105" s="119"/>
      <c r="O105" s="119"/>
      <c r="P105" s="119"/>
      <c r="Q105" s="119"/>
      <c r="R105" s="119"/>
      <c r="S105" s="285">
        <v>1.44</v>
      </c>
      <c r="T105" s="38">
        <f>ROUND((L105*I100+1.3*L105*K100+S105*H100),4)</f>
        <v>4293.1409999999996</v>
      </c>
      <c r="U105" s="38">
        <f>ROUND((M105*0.9*I100+1.3*M105*0.9*K100+S105*H100),4)</f>
        <v>4708.3518000000004</v>
      </c>
      <c r="V105" s="38">
        <f>ROUND((M105*I100+1.3*M105*K100+S105*H100),4)</f>
        <v>5221.902</v>
      </c>
      <c r="W105" s="38">
        <f>ROUND((L105*J100+1.3*L105*N100+S105*G100),4)</f>
        <v>29.43</v>
      </c>
      <c r="X105" s="38">
        <f>ROUND((M105*0.9*J100+1.3*M105*0.9*N100+S105*G100),4)</f>
        <v>31.481999999999999</v>
      </c>
      <c r="Y105" s="38">
        <f>ROUND((M105*J100+1.3*M105*N100+S105*G100),4)</f>
        <v>34.020000000000003</v>
      </c>
      <c r="Z105" s="276">
        <f>ROUND((P100*T105*F100*O100/1000000),4)</f>
        <v>1.5455000000000001</v>
      </c>
      <c r="AA105" s="276">
        <f>ROUND((Q100*U105*F100*O100/1000000),4)</f>
        <v>0.56499999999999995</v>
      </c>
      <c r="AB105" s="276">
        <f>ROUND((R100*V105*F100*O100/1000000),4)</f>
        <v>0.31330000000000002</v>
      </c>
      <c r="AC105" s="277" t="s">
        <v>157</v>
      </c>
      <c r="AD105" s="278" t="s">
        <v>153</v>
      </c>
      <c r="AE105" s="40">
        <f>ROUND((((X105*E100)/1800)),4)</f>
        <v>3.5000000000000003E-2</v>
      </c>
      <c r="AF105" s="40">
        <f>ROUND(((Z105+AA105+AB105)),4)</f>
        <v>2.4238</v>
      </c>
      <c r="AG105" s="288"/>
      <c r="AH105" s="288"/>
      <c r="AI105" s="288"/>
      <c r="AJ105" s="288"/>
    </row>
    <row r="106" spans="1:36" s="61" customFormat="1" ht="15" customHeight="1" x14ac:dyDescent="0.25">
      <c r="A106" s="39"/>
      <c r="B106" s="274" t="s">
        <v>586</v>
      </c>
      <c r="C106" s="274">
        <v>6</v>
      </c>
      <c r="D106" s="38" t="s">
        <v>556</v>
      </c>
      <c r="E106" s="38">
        <v>1</v>
      </c>
      <c r="F106" s="38">
        <v>3</v>
      </c>
      <c r="G106" s="38">
        <v>6</v>
      </c>
      <c r="H106" s="38">
        <v>60</v>
      </c>
      <c r="I106" s="38">
        <f>(8-1-0.75*2)*60*F106-K106-8*0.12*60</f>
        <v>288.89999999999998</v>
      </c>
      <c r="J106" s="38">
        <v>14</v>
      </c>
      <c r="K106" s="38">
        <f>(8-1-0.75*2)*0.65*60*F106</f>
        <v>643.5</v>
      </c>
      <c r="L106" s="38">
        <v>6.47</v>
      </c>
      <c r="M106" s="38">
        <v>6.47</v>
      </c>
      <c r="N106" s="38">
        <v>10</v>
      </c>
      <c r="O106" s="38">
        <f>E106/F106</f>
        <v>0.33333333333333331</v>
      </c>
      <c r="P106" s="38">
        <v>180</v>
      </c>
      <c r="Q106" s="38">
        <v>60</v>
      </c>
      <c r="R106" s="275">
        <v>30</v>
      </c>
      <c r="S106" s="275">
        <v>1.27</v>
      </c>
      <c r="T106" s="38">
        <f>ROUND((L106*I106+1.3*L106*K106+S106*H106),4)</f>
        <v>7357.8615</v>
      </c>
      <c r="U106" s="38">
        <f>ROUND((M106*I106+1.3*M106*K106+S106*H106),4)</f>
        <v>7357.8615</v>
      </c>
      <c r="V106" s="38">
        <f>ROUND((M106*I106+1.3*M106*K106+S106*H106),4)</f>
        <v>7357.8615</v>
      </c>
      <c r="W106" s="38">
        <f>ROUND((L106*J106+1.3*L106*N106+S106*G106),4)</f>
        <v>182.31</v>
      </c>
      <c r="X106" s="38">
        <f>ROUND((M106*J106+1.3*M106*N106+S106*G106),4)</f>
        <v>182.31</v>
      </c>
      <c r="Y106" s="38">
        <f>ROUND((M106*J106+1.3*M106*N106+S106*G106),4)</f>
        <v>182.31</v>
      </c>
      <c r="Z106" s="276">
        <f>ROUND((P106*T106*F106*O106/1000000),4)</f>
        <v>1.3244</v>
      </c>
      <c r="AA106" s="276">
        <f>ROUND((Q106*U106*F106*O106/1000000),4)</f>
        <v>0.4415</v>
      </c>
      <c r="AB106" s="276">
        <f>ROUND((R106*V106*F106*O106/1000000),4)</f>
        <v>0.22070000000000001</v>
      </c>
      <c r="AC106" s="277" t="s">
        <v>165</v>
      </c>
      <c r="AD106" s="278" t="s">
        <v>144</v>
      </c>
      <c r="AE106" s="40">
        <f>ROUND((((X106*E106)/1800)*0.8),4)</f>
        <v>8.1000000000000003E-2</v>
      </c>
      <c r="AF106" s="40">
        <f>ROUND(((Z106+AA106+AB106)*0.8),4)</f>
        <v>1.5892999999999999</v>
      </c>
      <c r="AG106" s="254"/>
      <c r="AH106" s="254"/>
      <c r="AI106" s="288"/>
      <c r="AJ106" s="288"/>
    </row>
    <row r="107" spans="1:36" s="61" customFormat="1" ht="15" customHeight="1" x14ac:dyDescent="0.25">
      <c r="A107" s="39"/>
      <c r="B107" s="280" t="s">
        <v>587</v>
      </c>
      <c r="C107" s="39"/>
      <c r="D107" s="39"/>
      <c r="E107" s="39"/>
      <c r="F107" s="39"/>
      <c r="G107" s="39"/>
      <c r="H107" s="39"/>
      <c r="I107" s="39"/>
      <c r="J107" s="39"/>
      <c r="K107" s="39"/>
      <c r="L107" s="119"/>
      <c r="M107" s="119"/>
      <c r="N107" s="39"/>
      <c r="O107" s="39"/>
      <c r="P107" s="39"/>
      <c r="Q107" s="39"/>
      <c r="R107" s="39"/>
      <c r="S107" s="281"/>
      <c r="T107" s="39"/>
      <c r="U107" s="39"/>
      <c r="V107" s="39"/>
      <c r="W107" s="39"/>
      <c r="X107" s="39"/>
      <c r="Y107" s="39"/>
      <c r="Z107" s="39"/>
      <c r="AA107" s="39"/>
      <c r="AB107" s="39"/>
      <c r="AC107" s="277" t="s">
        <v>166</v>
      </c>
      <c r="AD107" s="278" t="s">
        <v>167</v>
      </c>
      <c r="AE107" s="40">
        <f>ROUND((((X106*E106)/1800)*0.13),4)</f>
        <v>1.32E-2</v>
      </c>
      <c r="AF107" s="40">
        <f>ROUND(((Z106+AA106+AB106)*0.13),4)</f>
        <v>0.25829999999999997</v>
      </c>
      <c r="AG107" s="254"/>
      <c r="AH107" s="254"/>
      <c r="AI107" s="288"/>
      <c r="AJ107" s="288"/>
    </row>
    <row r="108" spans="1:36" s="61" customFormat="1" ht="15" customHeight="1" x14ac:dyDescent="0.25">
      <c r="A108" s="39"/>
      <c r="B108" s="287"/>
      <c r="C108" s="283"/>
      <c r="D108" s="283"/>
      <c r="E108" s="39"/>
      <c r="F108" s="39"/>
      <c r="G108" s="39"/>
      <c r="H108" s="39"/>
      <c r="I108" s="39"/>
      <c r="J108" s="39"/>
      <c r="K108" s="39"/>
      <c r="L108" s="40">
        <v>0.51</v>
      </c>
      <c r="M108" s="40">
        <v>0.63</v>
      </c>
      <c r="N108" s="39"/>
      <c r="O108" s="39"/>
      <c r="P108" s="39"/>
      <c r="Q108" s="39"/>
      <c r="R108" s="39"/>
      <c r="S108" s="284">
        <v>0.25</v>
      </c>
      <c r="T108" s="38">
        <f>ROUND((L108*I106+1.3*L108*K106+S108*H106),4)</f>
        <v>588.97950000000003</v>
      </c>
      <c r="U108" s="38">
        <f>ROUND((M108*0.9*I106+1.3*M108*0.9*K106+S108*H106),4)</f>
        <v>653.13019999999995</v>
      </c>
      <c r="V108" s="38">
        <f>ROUND((M108*I106+1.3*M108*K106+S108*H106),4)</f>
        <v>724.0335</v>
      </c>
      <c r="W108" s="38">
        <f>ROUND((L108*J106+1.3*L108*N106+S108*G106),4)</f>
        <v>15.27</v>
      </c>
      <c r="X108" s="38">
        <f>ROUND((M108*0.9*J106+1.3*M108*0.9*N106+S108*G106),4)</f>
        <v>16.809000000000001</v>
      </c>
      <c r="Y108" s="38">
        <f>ROUND((M108*J106+1.3*M108*N106+S108*G106),4)</f>
        <v>18.510000000000002</v>
      </c>
      <c r="Z108" s="276">
        <f>ROUND((P106*T108*F106*O106/1000000),4)</f>
        <v>0.106</v>
      </c>
      <c r="AA108" s="276">
        <f>ROUND((Q106*U108*F106*O106/1000000),4)</f>
        <v>3.9199999999999999E-2</v>
      </c>
      <c r="AB108" s="276">
        <f>ROUND((R106*V108*F106*O106/1000000),4)</f>
        <v>2.1700000000000001E-2</v>
      </c>
      <c r="AC108" s="277" t="s">
        <v>547</v>
      </c>
      <c r="AD108" s="278" t="s">
        <v>169</v>
      </c>
      <c r="AE108" s="40">
        <f>ROUND((((X108*E106)/1800)),4)</f>
        <v>9.2999999999999992E-3</v>
      </c>
      <c r="AF108" s="40">
        <f>ROUND(((Z108+AA108+AB108)),5)</f>
        <v>0.16689999999999999</v>
      </c>
      <c r="AG108" s="254"/>
      <c r="AH108" s="254"/>
      <c r="AI108" s="288"/>
      <c r="AJ108" s="288"/>
    </row>
    <row r="109" spans="1:36" s="61" customFormat="1" ht="15" customHeight="1" x14ac:dyDescent="0.25">
      <c r="A109" s="39"/>
      <c r="B109" s="280"/>
      <c r="C109" s="39"/>
      <c r="D109" s="39"/>
      <c r="E109" s="39"/>
      <c r="F109" s="39"/>
      <c r="G109" s="39"/>
      <c r="H109" s="39"/>
      <c r="I109" s="39"/>
      <c r="J109" s="39"/>
      <c r="K109" s="39"/>
      <c r="L109" s="40">
        <v>1.1399999999999999</v>
      </c>
      <c r="M109" s="40">
        <v>1.37</v>
      </c>
      <c r="N109" s="39"/>
      <c r="O109" s="39"/>
      <c r="P109" s="39"/>
      <c r="Q109" s="39"/>
      <c r="R109" s="39"/>
      <c r="S109" s="285">
        <v>0.79</v>
      </c>
      <c r="T109" s="38">
        <f>ROUND((L109*I106+1.3*L109*K106+S109*H106),4)</f>
        <v>1330.413</v>
      </c>
      <c r="U109" s="38">
        <f>ROUND((M109*0.9*I106+1.3*M109*0.9*K106+S109*H106),4)</f>
        <v>1435.0799</v>
      </c>
      <c r="V109" s="38">
        <f>ROUND((M109*I106+1.3*M109*K106+S109*H106),4)</f>
        <v>1589.2665</v>
      </c>
      <c r="W109" s="38">
        <f>ROUND((L109*J106+1.3*L109*N106+S109*G106),4)</f>
        <v>35.520000000000003</v>
      </c>
      <c r="X109" s="38">
        <f>ROUND((M109*0.9*J106+1.3*M109*0.9*N106+S109*G106),4)</f>
        <v>38.030999999999999</v>
      </c>
      <c r="Y109" s="38">
        <f>ROUND((M109*J106+1.3*N106+S109*G106),4)</f>
        <v>36.92</v>
      </c>
      <c r="Z109" s="276">
        <f>ROUND((P106*T109*F106*O106/1000000),4)</f>
        <v>0.23949999999999999</v>
      </c>
      <c r="AA109" s="276">
        <f>ROUND((Q106*U109*F106*O106/1000000),4)</f>
        <v>8.6099999999999996E-2</v>
      </c>
      <c r="AB109" s="276">
        <f>ROUND((R106*V109*F106*O106/1000000),4)</f>
        <v>4.7699999999999999E-2</v>
      </c>
      <c r="AC109" s="277" t="s">
        <v>548</v>
      </c>
      <c r="AD109" s="278" t="s">
        <v>549</v>
      </c>
      <c r="AE109" s="40">
        <f>ROUND((((X109*E106)/1800)),4)</f>
        <v>2.1100000000000001E-2</v>
      </c>
      <c r="AF109" s="40">
        <f>ROUND(((Z109+AA109+AB109)),4)</f>
        <v>0.37330000000000002</v>
      </c>
      <c r="AG109" s="254"/>
      <c r="AH109" s="254"/>
      <c r="AI109" s="288"/>
      <c r="AJ109" s="288"/>
    </row>
    <row r="110" spans="1:36" s="61" customFormat="1" ht="15" customHeight="1" x14ac:dyDescent="0.25">
      <c r="A110" s="39"/>
      <c r="B110" s="280"/>
      <c r="C110" s="39"/>
      <c r="D110" s="39"/>
      <c r="E110" s="39"/>
      <c r="F110" s="39"/>
      <c r="G110" s="39"/>
      <c r="H110" s="39"/>
      <c r="I110" s="39"/>
      <c r="J110" s="39"/>
      <c r="K110" s="39"/>
      <c r="L110" s="40">
        <v>0.72</v>
      </c>
      <c r="M110" s="40">
        <v>1.08</v>
      </c>
      <c r="N110" s="39"/>
      <c r="O110" s="39"/>
      <c r="P110" s="39"/>
      <c r="Q110" s="39"/>
      <c r="R110" s="39"/>
      <c r="S110" s="285">
        <v>0.17</v>
      </c>
      <c r="T110" s="38">
        <f>ROUND((L110*I106+1.3*L110*K106+S110*H106),4)</f>
        <v>820.524</v>
      </c>
      <c r="U110" s="38">
        <f>ROUND((M110*0.9*I106+1.3*M110*0.9*K106+S110*H106),4)</f>
        <v>1104.1374000000001</v>
      </c>
      <c r="V110" s="38">
        <f>ROUND((M110*I106+1.3*M110*K106+S110*H106),4)</f>
        <v>1225.6859999999999</v>
      </c>
      <c r="W110" s="38">
        <f>ROUND((L110*J106+1.3*L110*N106+S110*G106),4)</f>
        <v>20.46</v>
      </c>
      <c r="X110" s="38">
        <f>ROUND((M110*0.9*J106+1.3*M110*0.9*N106+S110*G106),4)</f>
        <v>27.263999999999999</v>
      </c>
      <c r="Y110" s="38">
        <f>ROUND((M110*J106+1.3*M110*N106+S110*G106),4)</f>
        <v>30.18</v>
      </c>
      <c r="Z110" s="276">
        <f>ROUND((P106*T110*F106*O106/1000000),4)</f>
        <v>0.1477</v>
      </c>
      <c r="AA110" s="276">
        <f>ROUND((Q106*U110*F106*O106/1000000),4)</f>
        <v>6.6199999999999995E-2</v>
      </c>
      <c r="AB110" s="276">
        <f>ROUND((R106*V110*F106*O106/1000000),4)</f>
        <v>3.6799999999999999E-2</v>
      </c>
      <c r="AC110" s="277" t="s">
        <v>172</v>
      </c>
      <c r="AD110" s="278" t="s">
        <v>173</v>
      </c>
      <c r="AE110" s="40">
        <f>ROUND((((X110*E106)/1800)),4)</f>
        <v>1.5100000000000001E-2</v>
      </c>
      <c r="AF110" s="40">
        <f>ROUND(((Z110+AA110+AB110)),4)</f>
        <v>0.25069999999999998</v>
      </c>
      <c r="AG110" s="254"/>
      <c r="AH110" s="254"/>
      <c r="AI110" s="288"/>
      <c r="AJ110" s="288"/>
    </row>
    <row r="111" spans="1:36" s="61" customFormat="1" ht="15" customHeight="1" x14ac:dyDescent="0.25">
      <c r="A111" s="39"/>
      <c r="B111" s="286"/>
      <c r="C111" s="119"/>
      <c r="D111" s="119"/>
      <c r="E111" s="119"/>
      <c r="F111" s="119"/>
      <c r="G111" s="119"/>
      <c r="H111" s="119"/>
      <c r="I111" s="119"/>
      <c r="J111" s="119"/>
      <c r="K111" s="119"/>
      <c r="L111" s="40">
        <v>3.37</v>
      </c>
      <c r="M111" s="40">
        <v>4.1100000000000003</v>
      </c>
      <c r="N111" s="119"/>
      <c r="O111" s="119"/>
      <c r="P111" s="119"/>
      <c r="Q111" s="119"/>
      <c r="R111" s="119"/>
      <c r="S111" s="285">
        <v>6.31</v>
      </c>
      <c r="T111" s="38">
        <f>ROUND((L111*I106+1.3*L111*K106+S111*H106),4)</f>
        <v>4171.3665000000001</v>
      </c>
      <c r="U111" s="38">
        <f>ROUND((M111*0.9*I106+1.3*M111*0.9*K106+S111*H106),4)</f>
        <v>4541.6396000000004</v>
      </c>
      <c r="V111" s="38">
        <f>ROUND((M111*I106+1.3*M111*K106+S111*H106),4)</f>
        <v>5004.1994999999997</v>
      </c>
      <c r="W111" s="38">
        <f>ROUND((L111*J106+1.3*L111*N106+S111*G106),4)</f>
        <v>128.85</v>
      </c>
      <c r="X111" s="38">
        <f>ROUND((M111*0.9*J106+1.3*M111*0.9*N106+S111*G106),4)</f>
        <v>137.733</v>
      </c>
      <c r="Y111" s="38">
        <f>ROUND((M111*J106+1.3*M111*N106+S111*G106),4)</f>
        <v>148.83000000000001</v>
      </c>
      <c r="Z111" s="276">
        <f>ROUND((P106*T111*F106*O106/1000000),4)</f>
        <v>0.75080000000000002</v>
      </c>
      <c r="AA111" s="276">
        <f>ROUND((Q106*U111*F106*O106/1000000),4)</f>
        <v>0.27250000000000002</v>
      </c>
      <c r="AB111" s="276">
        <f>ROUND((R106*V111*F106*O106/1000000),4)</f>
        <v>0.15010000000000001</v>
      </c>
      <c r="AC111" s="277" t="s">
        <v>157</v>
      </c>
      <c r="AD111" s="278" t="s">
        <v>153</v>
      </c>
      <c r="AE111" s="40">
        <f>ROUND((((X111*E106)/1800)),4)</f>
        <v>7.6499999999999999E-2</v>
      </c>
      <c r="AF111" s="40">
        <f>ROUND(((Z111+AA111+AB111)),4)</f>
        <v>1.1734</v>
      </c>
      <c r="AG111" s="254"/>
      <c r="AH111" s="254"/>
      <c r="AI111" s="288"/>
      <c r="AJ111" s="288"/>
    </row>
    <row r="112" spans="1:36" s="61" customFormat="1" ht="15" customHeight="1" x14ac:dyDescent="0.25">
      <c r="A112" s="39"/>
      <c r="B112" s="255" t="s">
        <v>586</v>
      </c>
      <c r="C112" s="30">
        <v>4</v>
      </c>
      <c r="D112" s="30" t="s">
        <v>545</v>
      </c>
      <c r="E112" s="30">
        <v>1</v>
      </c>
      <c r="F112" s="30">
        <v>4</v>
      </c>
      <c r="G112" s="30">
        <v>6</v>
      </c>
      <c r="H112" s="30">
        <v>60</v>
      </c>
      <c r="I112" s="30">
        <f>(8-1-0.75*2)*60*F112-K112-8*0.12*60</f>
        <v>404.4</v>
      </c>
      <c r="J112" s="30">
        <v>14</v>
      </c>
      <c r="K112" s="30">
        <f>(8-1-0.75*2)*0.65*60*F112</f>
        <v>858</v>
      </c>
      <c r="L112" s="30">
        <v>2.4700000000000002</v>
      </c>
      <c r="M112" s="30">
        <v>2.4700000000000002</v>
      </c>
      <c r="N112" s="30">
        <v>10</v>
      </c>
      <c r="O112" s="30">
        <f>E112/F112</f>
        <v>0.25</v>
      </c>
      <c r="P112" s="30">
        <v>180</v>
      </c>
      <c r="Q112" s="30">
        <v>60</v>
      </c>
      <c r="R112" s="256">
        <v>30</v>
      </c>
      <c r="S112" s="30">
        <v>0.48</v>
      </c>
      <c r="T112" s="30">
        <f>ROUND((L112*I112+1.3*L112*K112+S112*H112),4)</f>
        <v>3782.7060000000001</v>
      </c>
      <c r="U112" s="30">
        <f>ROUND((M112*I112+1.3*M112*K112+S112*H112),4)</f>
        <v>3782.7060000000001</v>
      </c>
      <c r="V112" s="30">
        <f>ROUND((M112*I112+1.3*M112*K112+S112*H112),4)</f>
        <v>3782.7060000000001</v>
      </c>
      <c r="W112" s="30">
        <f>ROUND((L112*J112+1.3*L112*N112+S112*G112),4)</f>
        <v>69.569999999999993</v>
      </c>
      <c r="X112" s="30">
        <f>ROUND((M112*J112+1.3*M112*N112+S112*G112),4)</f>
        <v>69.569999999999993</v>
      </c>
      <c r="Y112" s="30">
        <f>ROUND((M112*J112+1.3*M112*N112+S112*G112),4)</f>
        <v>69.569999999999993</v>
      </c>
      <c r="Z112" s="257">
        <f>ROUND((P112*T112*F112*O112/1000000),4)</f>
        <v>0.68089999999999995</v>
      </c>
      <c r="AA112" s="257">
        <f>ROUND((Q112*U112*F112*O112/1000000),4)</f>
        <v>0.22700000000000001</v>
      </c>
      <c r="AB112" s="257">
        <f>ROUND((R112*V112*F112*O112/1000000),4)</f>
        <v>0.1135</v>
      </c>
      <c r="AC112" s="258" t="s">
        <v>165</v>
      </c>
      <c r="AD112" s="259" t="s">
        <v>144</v>
      </c>
      <c r="AE112" s="34">
        <f>ROUND((((X112*E112)/1800)*0.8),4)</f>
        <v>3.09E-2</v>
      </c>
      <c r="AF112" s="34">
        <f>ROUND(((Z112+AA112+AB112)*0.8),4)</f>
        <v>0.81710000000000005</v>
      </c>
      <c r="AG112" s="254"/>
      <c r="AH112" s="254"/>
      <c r="AI112" s="288"/>
      <c r="AJ112" s="288"/>
    </row>
    <row r="113" spans="1:36" s="61" customFormat="1" ht="15" customHeight="1" x14ac:dyDescent="0.25">
      <c r="A113" s="39"/>
      <c r="B113" s="261" t="s">
        <v>588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262"/>
      <c r="T113" s="32"/>
      <c r="U113" s="32"/>
      <c r="V113" s="32"/>
      <c r="W113" s="32"/>
      <c r="X113" s="32"/>
      <c r="Y113" s="32"/>
      <c r="Z113" s="32"/>
      <c r="AA113" s="32"/>
      <c r="AB113" s="32"/>
      <c r="AC113" s="258" t="s">
        <v>166</v>
      </c>
      <c r="AD113" s="259" t="s">
        <v>167</v>
      </c>
      <c r="AE113" s="34">
        <f>ROUND((((X112*E112)/1800)*0.13),4)</f>
        <v>5.0000000000000001E-3</v>
      </c>
      <c r="AF113" s="34">
        <f>ROUND(((Z112+AA112+AB112)*0.13),4)</f>
        <v>0.1328</v>
      </c>
      <c r="AG113" s="254"/>
      <c r="AH113" s="254"/>
      <c r="AI113" s="288"/>
      <c r="AJ113" s="288"/>
    </row>
    <row r="114" spans="1:36" s="61" customFormat="1" ht="15" customHeight="1" x14ac:dyDescent="0.25">
      <c r="A114" s="39"/>
      <c r="B114" s="261"/>
      <c r="C114" s="263"/>
      <c r="D114" s="263"/>
      <c r="E114" s="32"/>
      <c r="F114" s="32"/>
      <c r="G114" s="32"/>
      <c r="H114" s="32"/>
      <c r="I114" s="32"/>
      <c r="J114" s="32"/>
      <c r="K114" s="32"/>
      <c r="L114" s="32">
        <v>0.19</v>
      </c>
      <c r="M114" s="32">
        <v>0.23</v>
      </c>
      <c r="N114" s="32"/>
      <c r="O114" s="32"/>
      <c r="P114" s="32"/>
      <c r="Q114" s="32"/>
      <c r="R114" s="32"/>
      <c r="S114" s="33">
        <v>9.7000000000000003E-2</v>
      </c>
      <c r="T114" s="30">
        <f>ROUND((L114*I112+1.3*L114*K112+S114*H112),4)</f>
        <v>294.58199999999999</v>
      </c>
      <c r="U114" s="30">
        <f>ROUND((M114*0.9*I112+1.3*M114*0.9*K112+S114*H112),4)</f>
        <v>320.41860000000003</v>
      </c>
      <c r="V114" s="30">
        <f>ROUND((M114*I112+1.3*M114*K112+S114*H112),4)</f>
        <v>355.37400000000002</v>
      </c>
      <c r="W114" s="30">
        <f>ROUND((L114*J112+1.3*L114*N112+S114*G112),4)</f>
        <v>5.7119999999999997</v>
      </c>
      <c r="X114" s="30">
        <f>ROUND((M114*0.9*J112+1.3*M114*0.9*N112+S114*G112),4)</f>
        <v>6.1710000000000003</v>
      </c>
      <c r="Y114" s="30">
        <f>ROUND((M114*J112+1.3*M114*N112+S114*G112),4)</f>
        <v>6.7919999999999998</v>
      </c>
      <c r="Z114" s="257">
        <f>ROUND((P112*T114*F112*O112/1000000),4)</f>
        <v>5.2999999999999999E-2</v>
      </c>
      <c r="AA114" s="257">
        <f>ROUND((Q112*U114*F112*O112/1000000),4)</f>
        <v>1.9199999999999998E-2</v>
      </c>
      <c r="AB114" s="257">
        <f>ROUND((R112*V114*F112*O112/1000000),4)</f>
        <v>1.0699999999999999E-2</v>
      </c>
      <c r="AC114" s="258" t="s">
        <v>547</v>
      </c>
      <c r="AD114" s="259" t="s">
        <v>169</v>
      </c>
      <c r="AE114" s="34">
        <f>ROUND((((X114*E112)/1800)),4)</f>
        <v>3.3999999999999998E-3</v>
      </c>
      <c r="AF114" s="34">
        <f>ROUND(((Z114+AA114+AB114)),5)</f>
        <v>8.2900000000000001E-2</v>
      </c>
      <c r="AG114" s="254"/>
      <c r="AH114" s="254"/>
      <c r="AI114" s="288"/>
      <c r="AJ114" s="288"/>
    </row>
    <row r="115" spans="1:36" s="61" customFormat="1" ht="15" customHeight="1" x14ac:dyDescent="0.25">
      <c r="A115" s="39"/>
      <c r="B115" s="264"/>
      <c r="C115" s="32"/>
      <c r="D115" s="32"/>
      <c r="E115" s="32"/>
      <c r="F115" s="32"/>
      <c r="G115" s="32"/>
      <c r="H115" s="32"/>
      <c r="I115" s="32"/>
      <c r="J115" s="32"/>
      <c r="K115" s="32"/>
      <c r="L115" s="32">
        <v>0.43</v>
      </c>
      <c r="M115" s="32">
        <v>0.51</v>
      </c>
      <c r="N115" s="32"/>
      <c r="O115" s="32"/>
      <c r="P115" s="32"/>
      <c r="Q115" s="32"/>
      <c r="R115" s="32"/>
      <c r="S115" s="33">
        <v>0.3</v>
      </c>
      <c r="T115" s="30">
        <f>ROUND((L115*I112+1.3*L115*K112+S115*H112),4)</f>
        <v>671.51400000000001</v>
      </c>
      <c r="U115" s="30">
        <f>ROUND((M115*0.9*I112+1.3*M115*0.9*K112+S115*H112),4)</f>
        <v>715.58820000000003</v>
      </c>
      <c r="V115" s="30">
        <f>ROUND((M115*I112+1.3*M115*K112+S115*H112),4)</f>
        <v>793.09799999999996</v>
      </c>
      <c r="W115" s="30">
        <f>ROUND((L115*J112+1.3*L115*N112+S115*G112),4)</f>
        <v>13.41</v>
      </c>
      <c r="X115" s="30">
        <f>ROUND((M115*0.9*J112+1.3*M115*0.9*N112+S115*G112),4)</f>
        <v>14.193</v>
      </c>
      <c r="Y115" s="30">
        <f>ROUND((M115*J112+1.3*N112+S115*G112),4)</f>
        <v>21.94</v>
      </c>
      <c r="Z115" s="257">
        <f>ROUND((P112*T115*F112*O112/1000000),4)</f>
        <v>0.12089999999999999</v>
      </c>
      <c r="AA115" s="257">
        <f>ROUND((Q112*U115*F112*O112/1000000),4)</f>
        <v>4.2900000000000001E-2</v>
      </c>
      <c r="AB115" s="257">
        <f>ROUND((R112*V115*F112*O112/1000000),4)</f>
        <v>2.3800000000000002E-2</v>
      </c>
      <c r="AC115" s="258" t="s">
        <v>548</v>
      </c>
      <c r="AD115" s="259" t="s">
        <v>549</v>
      </c>
      <c r="AE115" s="34">
        <f>ROUND((((X115*E112)/1800)),4)</f>
        <v>7.9000000000000008E-3</v>
      </c>
      <c r="AF115" s="34">
        <f>ROUND(((Z115+AA115+AB115)),4)</f>
        <v>0.18759999999999999</v>
      </c>
      <c r="AG115" s="254"/>
      <c r="AH115" s="254"/>
      <c r="AI115" s="288"/>
      <c r="AJ115" s="288"/>
    </row>
    <row r="116" spans="1:36" s="61" customFormat="1" ht="15" customHeight="1" x14ac:dyDescent="0.25">
      <c r="A116" s="39"/>
      <c r="B116" s="261"/>
      <c r="C116" s="32"/>
      <c r="D116" s="32"/>
      <c r="E116" s="32"/>
      <c r="F116" s="32"/>
      <c r="G116" s="32"/>
      <c r="H116" s="32"/>
      <c r="I116" s="32"/>
      <c r="J116" s="32"/>
      <c r="K116" s="32"/>
      <c r="L116" s="32">
        <v>0.27</v>
      </c>
      <c r="M116" s="32">
        <v>0.41</v>
      </c>
      <c r="N116" s="32"/>
      <c r="O116" s="32"/>
      <c r="P116" s="32"/>
      <c r="Q116" s="32"/>
      <c r="R116" s="32"/>
      <c r="S116" s="33">
        <v>0.06</v>
      </c>
      <c r="T116" s="30">
        <f>ROUND((L116*I112+1.3*L116*K112+S116*H112),4)</f>
        <v>413.94600000000003</v>
      </c>
      <c r="U116" s="30">
        <f>ROUND((M116*0.9*I112+1.3*M116*0.9*K112+S116*H112),4)</f>
        <v>564.40620000000001</v>
      </c>
      <c r="V116" s="30">
        <f>ROUND((M116*I112+1.3*M116*K112+S116*H112),4)</f>
        <v>626.71799999999996</v>
      </c>
      <c r="W116" s="30">
        <f>ROUND((L116*J112+1.3*L116*N112+S116*G112),4)</f>
        <v>7.65</v>
      </c>
      <c r="X116" s="30">
        <f>ROUND((M116*0.9*J112+1.3*M116*0.9*N112+S116*G112),4)</f>
        <v>10.323</v>
      </c>
      <c r="Y116" s="30">
        <f>ROUND((M116*J112+1.3*M116*N112+S116*G112),4)</f>
        <v>11.43</v>
      </c>
      <c r="Z116" s="257">
        <f>ROUND((P112*T116*F112*O112/1000000),4)</f>
        <v>7.4499999999999997E-2</v>
      </c>
      <c r="AA116" s="257">
        <f>ROUND((Q112*U116*F112*O112/1000000),4)</f>
        <v>3.39E-2</v>
      </c>
      <c r="AB116" s="257">
        <f>ROUND((R112*V116*F112*O112/1000000),4)</f>
        <v>1.8800000000000001E-2</v>
      </c>
      <c r="AC116" s="258" t="s">
        <v>172</v>
      </c>
      <c r="AD116" s="259" t="s">
        <v>173</v>
      </c>
      <c r="AE116" s="34">
        <f>ROUND((((X116*E112)/1800)),4)</f>
        <v>5.7000000000000002E-3</v>
      </c>
      <c r="AF116" s="34">
        <f>ROUND(((Z116+AA116+AB116)),4)</f>
        <v>0.12720000000000001</v>
      </c>
      <c r="AG116" s="254"/>
      <c r="AH116" s="254"/>
      <c r="AI116" s="288"/>
      <c r="AJ116" s="288"/>
    </row>
    <row r="117" spans="1:36" s="61" customFormat="1" ht="15" customHeight="1" x14ac:dyDescent="0.25">
      <c r="A117" s="39"/>
      <c r="B117" s="261"/>
      <c r="C117" s="265"/>
      <c r="D117" s="265"/>
      <c r="E117" s="265"/>
      <c r="F117" s="265"/>
      <c r="G117" s="265"/>
      <c r="H117" s="265"/>
      <c r="I117" s="265"/>
      <c r="J117" s="265"/>
      <c r="K117" s="265"/>
      <c r="L117" s="265">
        <v>1.29</v>
      </c>
      <c r="M117" s="265">
        <v>1.57</v>
      </c>
      <c r="N117" s="265"/>
      <c r="O117" s="265"/>
      <c r="P117" s="265"/>
      <c r="Q117" s="265"/>
      <c r="R117" s="265"/>
      <c r="S117" s="33">
        <v>2.4</v>
      </c>
      <c r="T117" s="33">
        <f>ROUND((L117*I112+1.3*L117*K112+S117*H112),4)</f>
        <v>2104.5419999999999</v>
      </c>
      <c r="U117" s="33">
        <f>ROUND((M117*0.9*I112+1.3*M117*0.9*K112+S117*H112),4)</f>
        <v>2291.4774000000002</v>
      </c>
      <c r="V117" s="33">
        <f>ROUND((M117*I112+1.3*M117*K112+S117*H112),4)</f>
        <v>2530.0859999999998</v>
      </c>
      <c r="W117" s="33">
        <f>ROUND((L117*J112+1.3*L117*N112+S117*G112),4)</f>
        <v>49.23</v>
      </c>
      <c r="X117" s="33">
        <f>ROUND((M117*0.9*J112+1.3*M117*0.9*N112+S117*G112),4)</f>
        <v>52.551000000000002</v>
      </c>
      <c r="Y117" s="33">
        <f>ROUND((M117*J112+1.3*M117*N112+S117*G112),4)</f>
        <v>56.79</v>
      </c>
      <c r="Z117" s="266">
        <f>ROUND((P112*T117*F112*O112/1000000),4)</f>
        <v>0.37880000000000003</v>
      </c>
      <c r="AA117" s="266">
        <f>ROUND((Q112*U117*F112*O112/1000000),4)</f>
        <v>0.13750000000000001</v>
      </c>
      <c r="AB117" s="266">
        <f>ROUND((R112*V117*F112*O112/1000000),4)</f>
        <v>7.5899999999999995E-2</v>
      </c>
      <c r="AC117" s="258" t="s">
        <v>157</v>
      </c>
      <c r="AD117" s="259" t="s">
        <v>153</v>
      </c>
      <c r="AE117" s="34">
        <f>ROUND((((X117*E112)/1800)),4)</f>
        <v>2.92E-2</v>
      </c>
      <c r="AF117" s="34">
        <f>ROUND(((Z117+AA117+AB117)),4)</f>
        <v>0.59219999999999995</v>
      </c>
      <c r="AG117" s="254"/>
      <c r="AH117" s="254"/>
      <c r="AI117" s="288"/>
      <c r="AJ117" s="288"/>
    </row>
    <row r="118" spans="1:36" s="61" customFormat="1" ht="15" customHeight="1" x14ac:dyDescent="0.25">
      <c r="A118" s="289"/>
      <c r="B118" s="1444" t="s">
        <v>568</v>
      </c>
      <c r="C118" s="255">
        <v>6</v>
      </c>
      <c r="D118" s="30" t="s">
        <v>556</v>
      </c>
      <c r="E118" s="30">
        <v>1</v>
      </c>
      <c r="F118" s="30">
        <v>9</v>
      </c>
      <c r="G118" s="30">
        <v>6</v>
      </c>
      <c r="H118" s="30">
        <v>60</v>
      </c>
      <c r="I118" s="30">
        <f>(8-1-0.75*2)*60*F118-K118-8*0.12*60</f>
        <v>981.9</v>
      </c>
      <c r="J118" s="30">
        <v>14</v>
      </c>
      <c r="K118" s="30">
        <f>(8-1-0.75*2)*0.65*60*F118</f>
        <v>1930.5</v>
      </c>
      <c r="L118" s="30">
        <v>6.47</v>
      </c>
      <c r="M118" s="30">
        <v>6.47</v>
      </c>
      <c r="N118" s="30">
        <v>10</v>
      </c>
      <c r="O118" s="30">
        <f>E118/F118</f>
        <v>0.1111111111111111</v>
      </c>
      <c r="P118" s="30">
        <v>180</v>
      </c>
      <c r="Q118" s="30">
        <v>60</v>
      </c>
      <c r="R118" s="256">
        <v>30</v>
      </c>
      <c r="S118" s="256">
        <v>1.27</v>
      </c>
      <c r="T118" s="30">
        <f>ROUND((L118*I118+1.3*L118*K118+S118*H118),4)</f>
        <v>22666.5285</v>
      </c>
      <c r="U118" s="30">
        <f>ROUND((M118*I118+1.3*M118*K118+S118*H118),4)</f>
        <v>22666.5285</v>
      </c>
      <c r="V118" s="30">
        <f>ROUND((M118*I118+1.3*M118*K118+S118*H118),4)</f>
        <v>22666.5285</v>
      </c>
      <c r="W118" s="30">
        <f>ROUND((L118*J118+1.3*L118*N118+S118*G118),4)</f>
        <v>182.31</v>
      </c>
      <c r="X118" s="30">
        <f>ROUND((M118*J118+1.3*M118*N118+S118*G118),4)</f>
        <v>182.31</v>
      </c>
      <c r="Y118" s="30">
        <f>ROUND((M118*J118+1.3*M118*N118+S118*G118),4)</f>
        <v>182.31</v>
      </c>
      <c r="Z118" s="257">
        <f>ROUND((P118*T118*F118*O118/1000000),4)</f>
        <v>4.08</v>
      </c>
      <c r="AA118" s="257">
        <f>ROUND((Q118*U118*F118*O118/1000000),4)</f>
        <v>1.36</v>
      </c>
      <c r="AB118" s="257">
        <f>ROUND((R118*V118*F118*O118/1000000),4)</f>
        <v>0.68</v>
      </c>
      <c r="AC118" s="258" t="s">
        <v>165</v>
      </c>
      <c r="AD118" s="259" t="s">
        <v>144</v>
      </c>
      <c r="AE118" s="34">
        <f>ROUND((((X118*E118)/1800)*0.8),4)</f>
        <v>8.1000000000000003E-2</v>
      </c>
      <c r="AF118" s="34">
        <f>ROUND(((Z118+AA118+AB118)*0.8),4)</f>
        <v>4.8959999999999999</v>
      </c>
      <c r="AG118" s="254"/>
      <c r="AH118" s="254"/>
    </row>
    <row r="119" spans="1:36" s="61" customFormat="1" ht="15" customHeight="1" x14ac:dyDescent="0.25">
      <c r="A119" s="289"/>
      <c r="B119" s="1637"/>
      <c r="C119" s="32"/>
      <c r="D119" s="32"/>
      <c r="E119" s="32"/>
      <c r="F119" s="32"/>
      <c r="G119" s="32"/>
      <c r="H119" s="32"/>
      <c r="I119" s="32"/>
      <c r="J119" s="32"/>
      <c r="K119" s="32"/>
      <c r="L119" s="265"/>
      <c r="M119" s="265"/>
      <c r="N119" s="32"/>
      <c r="O119" s="32"/>
      <c r="P119" s="32"/>
      <c r="Q119" s="32"/>
      <c r="R119" s="32"/>
      <c r="S119" s="268"/>
      <c r="T119" s="32"/>
      <c r="U119" s="32"/>
      <c r="V119" s="32"/>
      <c r="W119" s="32"/>
      <c r="X119" s="32"/>
      <c r="Y119" s="32"/>
      <c r="Z119" s="32"/>
      <c r="AA119" s="32"/>
      <c r="AB119" s="32"/>
      <c r="AC119" s="258" t="s">
        <v>166</v>
      </c>
      <c r="AD119" s="259" t="s">
        <v>167</v>
      </c>
      <c r="AE119" s="34">
        <f>ROUND((((X118*E118)/1800)*0.13),4)</f>
        <v>1.32E-2</v>
      </c>
      <c r="AF119" s="34">
        <f>ROUND(((Z118+AA118+AB118)*0.13),4)</f>
        <v>0.79559999999999997</v>
      </c>
      <c r="AG119" s="254"/>
      <c r="AH119" s="254"/>
    </row>
    <row r="120" spans="1:36" s="61" customFormat="1" ht="15" customHeight="1" x14ac:dyDescent="0.25">
      <c r="A120" s="289"/>
      <c r="B120" s="838" t="s">
        <v>569</v>
      </c>
      <c r="C120" s="263"/>
      <c r="D120" s="263"/>
      <c r="E120" s="32"/>
      <c r="F120" s="32"/>
      <c r="G120" s="32"/>
      <c r="H120" s="32"/>
      <c r="I120" s="32"/>
      <c r="J120" s="32"/>
      <c r="K120" s="32"/>
      <c r="L120" s="34">
        <v>0.51</v>
      </c>
      <c r="M120" s="34">
        <v>0.63</v>
      </c>
      <c r="N120" s="32"/>
      <c r="O120" s="32"/>
      <c r="P120" s="32"/>
      <c r="Q120" s="32"/>
      <c r="R120" s="32"/>
      <c r="S120" s="270">
        <v>0.25</v>
      </c>
      <c r="T120" s="30">
        <f>ROUND((L120*I118+1.3*L120*K118+S120*H118),4)</f>
        <v>1795.6904999999999</v>
      </c>
      <c r="U120" s="30">
        <f>ROUND((M120*0.9*I118+1.3*M120*0.9*K118+S120*H118),4)</f>
        <v>1994.7089000000001</v>
      </c>
      <c r="V120" s="30">
        <f>ROUND((M120*I118+1.3*M120*K118+S120*H118),4)</f>
        <v>2214.6765</v>
      </c>
      <c r="W120" s="30">
        <f>ROUND((L120*J118+1.3*L120*N118+S120*G118),4)</f>
        <v>15.27</v>
      </c>
      <c r="X120" s="30">
        <f>ROUND((M120*0.9*J118+1.3*M120*0.9*N118+S120*G118),4)</f>
        <v>16.809000000000001</v>
      </c>
      <c r="Y120" s="30">
        <f>ROUND((M120*J118+1.3*M120*N118+S120*G118),4)</f>
        <v>18.510000000000002</v>
      </c>
      <c r="Z120" s="257">
        <f>ROUND((P118*T120*F118*O118/1000000),4)</f>
        <v>0.32319999999999999</v>
      </c>
      <c r="AA120" s="257">
        <f>ROUND((Q118*U120*F118*O118/1000000),4)</f>
        <v>0.1197</v>
      </c>
      <c r="AB120" s="257">
        <f>ROUND((R118*V120*F118*O118/1000000),4)</f>
        <v>6.6400000000000001E-2</v>
      </c>
      <c r="AC120" s="258" t="s">
        <v>547</v>
      </c>
      <c r="AD120" s="259" t="s">
        <v>169</v>
      </c>
      <c r="AE120" s="34">
        <f>ROUND((((X120*E118)/1800)),4)</f>
        <v>9.2999999999999992E-3</v>
      </c>
      <c r="AF120" s="34">
        <f>ROUND(((Z120+AA120+AB120)),5)</f>
        <v>0.50929999999999997</v>
      </c>
      <c r="AG120" s="254"/>
      <c r="AH120" s="254"/>
    </row>
    <row r="121" spans="1:36" s="61" customFormat="1" ht="15" customHeight="1" x14ac:dyDescent="0.25">
      <c r="A121" s="289"/>
      <c r="B121" s="261"/>
      <c r="C121" s="32"/>
      <c r="D121" s="32"/>
      <c r="E121" s="32"/>
      <c r="F121" s="32"/>
      <c r="G121" s="32"/>
      <c r="H121" s="32"/>
      <c r="I121" s="32"/>
      <c r="J121" s="32"/>
      <c r="K121" s="32"/>
      <c r="L121" s="34">
        <v>1.1399999999999999</v>
      </c>
      <c r="M121" s="34">
        <v>1.37</v>
      </c>
      <c r="N121" s="32"/>
      <c r="O121" s="32"/>
      <c r="P121" s="32"/>
      <c r="Q121" s="32"/>
      <c r="R121" s="32"/>
      <c r="S121" s="271">
        <v>0.79</v>
      </c>
      <c r="T121" s="30">
        <f>ROUND((L121*I118+1.3*L121*K118+S121*H118),4)</f>
        <v>4027.7669999999998</v>
      </c>
      <c r="U121" s="30">
        <f>ROUND((M121*0.9*I118+1.3*M121*0.9*K118+S121*H118),4)</f>
        <v>4352.4812000000002</v>
      </c>
      <c r="V121" s="30">
        <f>ROUND((M121*I118+1.3*M121*K118+S121*H118),4)</f>
        <v>4830.8235000000004</v>
      </c>
      <c r="W121" s="30">
        <f>ROUND((L121*J118+1.3*L121*N118+S121*G118),4)</f>
        <v>35.520000000000003</v>
      </c>
      <c r="X121" s="30">
        <f>ROUND((M121*0.9*J118+1.3*M121*0.9*N118+S121*G118),4)</f>
        <v>38.030999999999999</v>
      </c>
      <c r="Y121" s="30">
        <f>ROUND((M121*J118+1.3*N118+S121*G118),4)</f>
        <v>36.92</v>
      </c>
      <c r="Z121" s="257">
        <f>ROUND((P118*T121*F118*O118/1000000),4)</f>
        <v>0.72499999999999998</v>
      </c>
      <c r="AA121" s="257">
        <f>ROUND((Q118*U121*F118*O118/1000000),4)</f>
        <v>0.2611</v>
      </c>
      <c r="AB121" s="257">
        <f>ROUND((R118*V121*F118*O118/1000000),4)</f>
        <v>0.1449</v>
      </c>
      <c r="AC121" s="258" t="s">
        <v>548</v>
      </c>
      <c r="AD121" s="259" t="s">
        <v>549</v>
      </c>
      <c r="AE121" s="34">
        <f>ROUND((((X121*E118)/1800)),4)</f>
        <v>2.1100000000000001E-2</v>
      </c>
      <c r="AF121" s="34">
        <f>ROUND(((Z121+AA121+AB121)),4)</f>
        <v>1.131</v>
      </c>
      <c r="AG121" s="254"/>
      <c r="AH121" s="254"/>
    </row>
    <row r="122" spans="1:36" s="61" customFormat="1" ht="15" customHeight="1" x14ac:dyDescent="0.25">
      <c r="A122" s="289"/>
      <c r="B122" s="261"/>
      <c r="C122" s="32"/>
      <c r="D122" s="32"/>
      <c r="E122" s="32"/>
      <c r="F122" s="32"/>
      <c r="G122" s="32"/>
      <c r="H122" s="32"/>
      <c r="I122" s="32"/>
      <c r="J122" s="32"/>
      <c r="K122" s="32"/>
      <c r="L122" s="34">
        <v>0.72</v>
      </c>
      <c r="M122" s="34">
        <v>1.08</v>
      </c>
      <c r="N122" s="32"/>
      <c r="O122" s="32"/>
      <c r="P122" s="32"/>
      <c r="Q122" s="32"/>
      <c r="R122" s="32"/>
      <c r="S122" s="271">
        <v>0.17</v>
      </c>
      <c r="T122" s="30">
        <f>ROUND((L122*I118+1.3*L122*K118+S122*H118),4)</f>
        <v>2524.116</v>
      </c>
      <c r="U122" s="30">
        <f>ROUND((M122*0.9*I118+1.3*M122*0.9*K118+S122*H118),4)</f>
        <v>3403.9866000000002</v>
      </c>
      <c r="V122" s="30">
        <f>ROUND((M122*I118+1.3*M122*K118+S122*H118),4)</f>
        <v>3781.0740000000001</v>
      </c>
      <c r="W122" s="30">
        <f>ROUND((L122*J118+1.3*L122*N118+S122*G118),4)</f>
        <v>20.46</v>
      </c>
      <c r="X122" s="30">
        <f>ROUND((M122*0.9*J118+1.3*M122*0.9*N118+S122*G118),4)</f>
        <v>27.263999999999999</v>
      </c>
      <c r="Y122" s="30">
        <f>ROUND((M122*J118+1.3*M122*N118+S122*G118),4)</f>
        <v>30.18</v>
      </c>
      <c r="Z122" s="257">
        <f>ROUND((P118*T122*F118*O118/1000000),4)</f>
        <v>0.45429999999999998</v>
      </c>
      <c r="AA122" s="257">
        <f>ROUND((Q118*U122*F118*O118/1000000),4)</f>
        <v>0.20419999999999999</v>
      </c>
      <c r="AB122" s="257">
        <f>ROUND((R118*V122*F118*O118/1000000),4)</f>
        <v>0.1134</v>
      </c>
      <c r="AC122" s="258" t="s">
        <v>172</v>
      </c>
      <c r="AD122" s="259" t="s">
        <v>173</v>
      </c>
      <c r="AE122" s="34">
        <f>ROUND((((X122*E118)/1800)),4)</f>
        <v>1.5100000000000001E-2</v>
      </c>
      <c r="AF122" s="34">
        <f>ROUND(((Z122+AA122+AB122)),4)</f>
        <v>0.77190000000000003</v>
      </c>
      <c r="AG122" s="254"/>
      <c r="AH122" s="254"/>
    </row>
    <row r="123" spans="1:36" s="61" customFormat="1" ht="15" customHeight="1" x14ac:dyDescent="0.25">
      <c r="A123" s="289"/>
      <c r="B123" s="272"/>
      <c r="C123" s="265"/>
      <c r="D123" s="265"/>
      <c r="E123" s="265"/>
      <c r="F123" s="265"/>
      <c r="G123" s="265"/>
      <c r="H123" s="265"/>
      <c r="I123" s="265"/>
      <c r="J123" s="265"/>
      <c r="K123" s="265"/>
      <c r="L123" s="34">
        <v>3.37</v>
      </c>
      <c r="M123" s="34">
        <v>4.1100000000000003</v>
      </c>
      <c r="N123" s="265"/>
      <c r="O123" s="265"/>
      <c r="P123" s="265"/>
      <c r="Q123" s="265"/>
      <c r="R123" s="265"/>
      <c r="S123" s="271">
        <v>6.31</v>
      </c>
      <c r="T123" s="30">
        <f>ROUND((L123*I118+1.3*L123*K118+S123*H118),4)</f>
        <v>12145.1235</v>
      </c>
      <c r="U123" s="30">
        <f>ROUND((M123*0.9*I118+1.3*M123*0.9*K118+S123*H118),4)</f>
        <v>13293.843500000001</v>
      </c>
      <c r="V123" s="30">
        <f>ROUND((M123*I118+1.3*M123*K118+S123*H118),4)</f>
        <v>14728.870500000001</v>
      </c>
      <c r="W123" s="30">
        <f>ROUND((L123*J118+1.3*L123*N118+S123*G118),4)</f>
        <v>128.85</v>
      </c>
      <c r="X123" s="30">
        <f>ROUND((M123*0.9*J118+1.3*M123*0.9*N118+S123*G118),4)</f>
        <v>137.733</v>
      </c>
      <c r="Y123" s="30">
        <f>ROUND((M123*J118+1.3*M123*N118+S123*G118),4)</f>
        <v>148.83000000000001</v>
      </c>
      <c r="Z123" s="257">
        <f>ROUND((P118*T123*F118*O118/1000000),4)</f>
        <v>2.1861000000000002</v>
      </c>
      <c r="AA123" s="257">
        <f>ROUND((Q118*U123*F118*O118/1000000),4)</f>
        <v>0.79759999999999998</v>
      </c>
      <c r="AB123" s="257">
        <f>ROUND((R118*V123*F118*O118/1000000),4)</f>
        <v>0.44190000000000002</v>
      </c>
      <c r="AC123" s="258" t="s">
        <v>157</v>
      </c>
      <c r="AD123" s="259" t="s">
        <v>153</v>
      </c>
      <c r="AE123" s="34">
        <f>ROUND((((X123*E118)/1800)),4)</f>
        <v>7.6499999999999999E-2</v>
      </c>
      <c r="AF123" s="34">
        <f>ROUND(((Z123+AA123+AB123)),4)</f>
        <v>3.4256000000000002</v>
      </c>
      <c r="AG123" s="254"/>
      <c r="AH123" s="254"/>
    </row>
    <row r="124" spans="1:36" s="61" customFormat="1" ht="15" customHeight="1" x14ac:dyDescent="0.25">
      <c r="A124" s="289"/>
      <c r="B124" s="1478" t="s">
        <v>568</v>
      </c>
      <c r="C124" s="274">
        <v>6</v>
      </c>
      <c r="D124" s="38" t="s">
        <v>556</v>
      </c>
      <c r="E124" s="38">
        <v>1</v>
      </c>
      <c r="F124" s="38">
        <v>12</v>
      </c>
      <c r="G124" s="38">
        <v>6</v>
      </c>
      <c r="H124" s="38">
        <v>60</v>
      </c>
      <c r="I124" s="38">
        <f>(8-1-0.75*2)*60*F124-K124-8*0.12*60</f>
        <v>1328.4</v>
      </c>
      <c r="J124" s="38">
        <v>14</v>
      </c>
      <c r="K124" s="38">
        <f>(8-1-0.75*2)*0.65*60*F124</f>
        <v>2574</v>
      </c>
      <c r="L124" s="38">
        <v>6.47</v>
      </c>
      <c r="M124" s="38">
        <v>6.47</v>
      </c>
      <c r="N124" s="38">
        <v>10</v>
      </c>
      <c r="O124" s="38">
        <f>E124/F124</f>
        <v>8.3333333333333329E-2</v>
      </c>
      <c r="P124" s="38">
        <v>180</v>
      </c>
      <c r="Q124" s="38">
        <v>60</v>
      </c>
      <c r="R124" s="275">
        <v>30</v>
      </c>
      <c r="S124" s="275">
        <v>1.27</v>
      </c>
      <c r="T124" s="38">
        <f>ROUND((L124*I124+1.3*L124*K124+S124*H124),4)</f>
        <v>30320.862000000001</v>
      </c>
      <c r="U124" s="38">
        <f>ROUND((M124*I124+1.3*M124*K124+S124*H124),4)</f>
        <v>30320.862000000001</v>
      </c>
      <c r="V124" s="38">
        <f>ROUND((M124*I124+1.3*M124*K124+S124*H124),4)</f>
        <v>30320.862000000001</v>
      </c>
      <c r="W124" s="38">
        <f>ROUND((L124*J124+1.3*L124*N124+S124*G124),4)</f>
        <v>182.31</v>
      </c>
      <c r="X124" s="38">
        <f>ROUND((M124*J124+1.3*M124*N124+S124*G124),4)</f>
        <v>182.31</v>
      </c>
      <c r="Y124" s="38">
        <f>ROUND((M124*J124+1.3*M124*N124+S124*G124),4)</f>
        <v>182.31</v>
      </c>
      <c r="Z124" s="276">
        <f>ROUND((P124*T124*F124*O124/1000000),4)</f>
        <v>5.4577999999999998</v>
      </c>
      <c r="AA124" s="276">
        <f>ROUND((Q124*U124*F124*O124/1000000),4)</f>
        <v>1.8192999999999999</v>
      </c>
      <c r="AB124" s="276">
        <f>ROUND((R124*V124*F124*O124/1000000),4)</f>
        <v>0.90959999999999996</v>
      </c>
      <c r="AC124" s="277" t="s">
        <v>165</v>
      </c>
      <c r="AD124" s="278" t="s">
        <v>144</v>
      </c>
      <c r="AE124" s="40">
        <f>ROUND((((X124*E124)/1800)*0.8),4)</f>
        <v>8.1000000000000003E-2</v>
      </c>
      <c r="AF124" s="40">
        <f>ROUND(((Z124+AA124+AB124)*0.8),4)</f>
        <v>6.5494000000000003</v>
      </c>
      <c r="AG124" s="254"/>
      <c r="AH124" s="254"/>
    </row>
    <row r="125" spans="1:36" s="61" customFormat="1" ht="15" customHeight="1" x14ac:dyDescent="0.25">
      <c r="A125" s="289"/>
      <c r="B125" s="1634"/>
      <c r="C125" s="39"/>
      <c r="D125" s="39"/>
      <c r="E125" s="39"/>
      <c r="F125" s="39"/>
      <c r="G125" s="39"/>
      <c r="H125" s="39"/>
      <c r="I125" s="39"/>
      <c r="J125" s="39"/>
      <c r="K125" s="39"/>
      <c r="L125" s="119"/>
      <c r="M125" s="119"/>
      <c r="N125" s="39"/>
      <c r="O125" s="39"/>
      <c r="P125" s="39"/>
      <c r="Q125" s="39"/>
      <c r="R125" s="39"/>
      <c r="S125" s="281"/>
      <c r="T125" s="39"/>
      <c r="U125" s="39"/>
      <c r="V125" s="39"/>
      <c r="W125" s="39"/>
      <c r="X125" s="39"/>
      <c r="Y125" s="39"/>
      <c r="Z125" s="39"/>
      <c r="AA125" s="39"/>
      <c r="AB125" s="39"/>
      <c r="AC125" s="277" t="s">
        <v>166</v>
      </c>
      <c r="AD125" s="278" t="s">
        <v>167</v>
      </c>
      <c r="AE125" s="40">
        <f>ROUND((((X124*E124)/1800)*0.13),4)</f>
        <v>1.32E-2</v>
      </c>
      <c r="AF125" s="40">
        <f>ROUND(((Z124+AA124+AB124)*0.13),4)</f>
        <v>1.0643</v>
      </c>
      <c r="AG125" s="254"/>
      <c r="AH125" s="254"/>
    </row>
    <row r="126" spans="1:36" s="61" customFormat="1" ht="15" customHeight="1" x14ac:dyDescent="0.25">
      <c r="A126" s="289"/>
      <c r="B126" s="280" t="s">
        <v>589</v>
      </c>
      <c r="C126" s="283"/>
      <c r="D126" s="283"/>
      <c r="E126" s="39"/>
      <c r="F126" s="39"/>
      <c r="G126" s="39"/>
      <c r="H126" s="39"/>
      <c r="I126" s="39"/>
      <c r="J126" s="39"/>
      <c r="K126" s="39"/>
      <c r="L126" s="40">
        <v>0.51</v>
      </c>
      <c r="M126" s="40">
        <v>0.63</v>
      </c>
      <c r="N126" s="39"/>
      <c r="O126" s="39"/>
      <c r="P126" s="39"/>
      <c r="Q126" s="39"/>
      <c r="R126" s="39"/>
      <c r="S126" s="284">
        <v>0.25</v>
      </c>
      <c r="T126" s="38">
        <f>ROUND((L126*I124+1.3*L126*K124+S126*H124),4)</f>
        <v>2399.0459999999998</v>
      </c>
      <c r="U126" s="38">
        <f>ROUND((M126*0.9*I124+1.3*M126*0.9*K124+S126*H124),4)</f>
        <v>2665.4982</v>
      </c>
      <c r="V126" s="38">
        <f>ROUND((M126*I124+1.3*M126*K124+S126*H124),4)</f>
        <v>2959.998</v>
      </c>
      <c r="W126" s="38">
        <f>ROUND((L126*J124+1.3*L126*N124+S126*G124),4)</f>
        <v>15.27</v>
      </c>
      <c r="X126" s="38">
        <f>ROUND((M126*0.9*J124+1.3*M126*0.9*N124+S126*G124),4)</f>
        <v>16.809000000000001</v>
      </c>
      <c r="Y126" s="38">
        <f>ROUND((M126*J124+1.3*M126*N124+S126*G124),4)</f>
        <v>18.510000000000002</v>
      </c>
      <c r="Z126" s="276">
        <f>ROUND((P124*T126*F124*O124/1000000),4)</f>
        <v>0.43180000000000002</v>
      </c>
      <c r="AA126" s="276">
        <f>ROUND((Q124*U126*F124*O124/1000000),4)</f>
        <v>0.15989999999999999</v>
      </c>
      <c r="AB126" s="276">
        <f>ROUND((R124*V126*F124*O124/1000000),4)</f>
        <v>8.8800000000000004E-2</v>
      </c>
      <c r="AC126" s="277" t="s">
        <v>547</v>
      </c>
      <c r="AD126" s="278" t="s">
        <v>169</v>
      </c>
      <c r="AE126" s="40">
        <f>ROUND((((X126*E124)/1800)),4)</f>
        <v>9.2999999999999992E-3</v>
      </c>
      <c r="AF126" s="40">
        <f>ROUND(((Z126+AA126+AB126)),5)</f>
        <v>0.68049999999999999</v>
      </c>
      <c r="AG126" s="254"/>
      <c r="AH126" s="254"/>
    </row>
    <row r="127" spans="1:36" s="61" customFormat="1" ht="15" customHeight="1" x14ac:dyDescent="0.25">
      <c r="A127" s="289"/>
      <c r="B127" s="280"/>
      <c r="C127" s="39"/>
      <c r="D127" s="39"/>
      <c r="E127" s="39"/>
      <c r="F127" s="39"/>
      <c r="G127" s="39"/>
      <c r="H127" s="39"/>
      <c r="I127" s="39"/>
      <c r="J127" s="39"/>
      <c r="K127" s="39"/>
      <c r="L127" s="40">
        <v>1.1399999999999999</v>
      </c>
      <c r="M127" s="40">
        <v>1.37</v>
      </c>
      <c r="N127" s="39"/>
      <c r="O127" s="39"/>
      <c r="P127" s="39"/>
      <c r="Q127" s="39"/>
      <c r="R127" s="39"/>
      <c r="S127" s="285">
        <v>0.79</v>
      </c>
      <c r="T127" s="38">
        <f>ROUND((L127*I124+1.3*L127*K124+S127*H124),4)</f>
        <v>5376.4440000000004</v>
      </c>
      <c r="U127" s="38">
        <f>ROUND((M127*0.9*I124+1.3*M127*0.9*K124+S127*H124),4)</f>
        <v>5811.1818000000003</v>
      </c>
      <c r="V127" s="38">
        <f>ROUND((M127*I124+1.3*M127*K124+S127*H124),4)</f>
        <v>6451.6019999999999</v>
      </c>
      <c r="W127" s="38">
        <f>ROUND((L127*J124+1.3*L127*N124+S127*G124),4)</f>
        <v>35.520000000000003</v>
      </c>
      <c r="X127" s="38">
        <f>ROUND((M127*0.9*J124+1.3*M127*0.9*N124+S127*G124),4)</f>
        <v>38.030999999999999</v>
      </c>
      <c r="Y127" s="38">
        <f>ROUND((M127*J124+1.3*N124+S127*G124),4)</f>
        <v>36.92</v>
      </c>
      <c r="Z127" s="276">
        <f>ROUND((P124*T127*F124*O124/1000000),4)</f>
        <v>0.96779999999999999</v>
      </c>
      <c r="AA127" s="276">
        <f>ROUND((Q124*U127*F124*O124/1000000),4)</f>
        <v>0.34870000000000001</v>
      </c>
      <c r="AB127" s="276">
        <f>ROUND((R124*V127*F124*O124/1000000),4)</f>
        <v>0.19350000000000001</v>
      </c>
      <c r="AC127" s="277" t="s">
        <v>548</v>
      </c>
      <c r="AD127" s="278" t="s">
        <v>549</v>
      </c>
      <c r="AE127" s="40">
        <f>ROUND((((X127*E124)/1800)),4)</f>
        <v>2.1100000000000001E-2</v>
      </c>
      <c r="AF127" s="40">
        <f>ROUND(((Z127+AA127+AB127)),4)</f>
        <v>1.51</v>
      </c>
      <c r="AG127" s="254"/>
      <c r="AH127" s="254"/>
    </row>
    <row r="128" spans="1:36" s="61" customFormat="1" ht="15" customHeight="1" x14ac:dyDescent="0.25">
      <c r="A128" s="289"/>
      <c r="B128" s="280"/>
      <c r="C128" s="39"/>
      <c r="D128" s="39"/>
      <c r="E128" s="39"/>
      <c r="F128" s="39"/>
      <c r="G128" s="39"/>
      <c r="H128" s="39"/>
      <c r="I128" s="39"/>
      <c r="J128" s="39"/>
      <c r="K128" s="39"/>
      <c r="L128" s="40">
        <v>0.72</v>
      </c>
      <c r="M128" s="40">
        <v>1.08</v>
      </c>
      <c r="N128" s="39"/>
      <c r="O128" s="39"/>
      <c r="P128" s="39"/>
      <c r="Q128" s="39"/>
      <c r="R128" s="39"/>
      <c r="S128" s="285">
        <v>0.17</v>
      </c>
      <c r="T128" s="38">
        <f>ROUND((L128*I124+1.3*L128*K124+S128*H124),4)</f>
        <v>3375.9119999999998</v>
      </c>
      <c r="U128" s="38">
        <f>ROUND((M128*0.9*I124+1.3*M128*0.9*K124+S128*H124),4)</f>
        <v>4553.9111999999996</v>
      </c>
      <c r="V128" s="38">
        <f>ROUND((M128*I124+1.3*M128*K124+S128*H124),4)</f>
        <v>5058.768</v>
      </c>
      <c r="W128" s="38">
        <f>ROUND((L128*J124+1.3*L128*N124+S128*G124),4)</f>
        <v>20.46</v>
      </c>
      <c r="X128" s="38">
        <f>ROUND((M128*0.9*J124+1.3*M128*0.9*N124+S128*G124),4)</f>
        <v>27.263999999999999</v>
      </c>
      <c r="Y128" s="38">
        <f>ROUND((M128*J124+1.3*M128*N124+S128*G124),4)</f>
        <v>30.18</v>
      </c>
      <c r="Z128" s="276">
        <f>ROUND((P124*T128*F124*O124/1000000),4)</f>
        <v>0.60770000000000002</v>
      </c>
      <c r="AA128" s="276">
        <f>ROUND((Q124*U128*F124*O124/1000000),4)</f>
        <v>0.2732</v>
      </c>
      <c r="AB128" s="276">
        <f>ROUND((R124*V128*F124*O124/1000000),4)</f>
        <v>0.15179999999999999</v>
      </c>
      <c r="AC128" s="277" t="s">
        <v>172</v>
      </c>
      <c r="AD128" s="278" t="s">
        <v>173</v>
      </c>
      <c r="AE128" s="40">
        <f>ROUND((((X128*E124)/1800)),4)</f>
        <v>1.5100000000000001E-2</v>
      </c>
      <c r="AF128" s="40">
        <f>ROUND(((Z128+AA128+AB128)),4)</f>
        <v>1.0327</v>
      </c>
      <c r="AG128" s="254"/>
      <c r="AH128" s="254"/>
    </row>
    <row r="129" spans="1:34" s="61" customFormat="1" ht="15" customHeight="1" x14ac:dyDescent="0.25">
      <c r="A129" s="289"/>
      <c r="B129" s="286"/>
      <c r="C129" s="119"/>
      <c r="D129" s="119"/>
      <c r="E129" s="119"/>
      <c r="F129" s="119"/>
      <c r="G129" s="119"/>
      <c r="H129" s="119"/>
      <c r="I129" s="119"/>
      <c r="J129" s="119"/>
      <c r="K129" s="119"/>
      <c r="L129" s="40">
        <v>3.37</v>
      </c>
      <c r="M129" s="40">
        <v>4.1100000000000003</v>
      </c>
      <c r="N129" s="119"/>
      <c r="O129" s="119"/>
      <c r="P129" s="119"/>
      <c r="Q129" s="119"/>
      <c r="R129" s="119"/>
      <c r="S129" s="285">
        <v>6.31</v>
      </c>
      <c r="T129" s="38">
        <f>ROUND((L129*I124+1.3*L129*K124+S129*H124),4)</f>
        <v>16132.002</v>
      </c>
      <c r="U129" s="38">
        <f>ROUND((M129*0.9*I124+1.3*M129*0.9*K124+S129*H124),4)</f>
        <v>17669.945400000001</v>
      </c>
      <c r="V129" s="38">
        <f>ROUND((M129*I124+1.3*M129*K124+S129*H124),4)</f>
        <v>19591.205999999998</v>
      </c>
      <c r="W129" s="38">
        <f>ROUND((L129*J124+1.3*L129*N124+S129*G124),4)</f>
        <v>128.85</v>
      </c>
      <c r="X129" s="38">
        <f>ROUND((M129*0.9*J124+1.3*M129*0.9*N124+S129*G124),4)</f>
        <v>137.733</v>
      </c>
      <c r="Y129" s="38">
        <f>ROUND((M129*J124+1.3*M129*N124+S129*G124),4)</f>
        <v>148.83000000000001</v>
      </c>
      <c r="Z129" s="276">
        <f>ROUND((P124*T129*F124*O124/1000000),4)</f>
        <v>2.9037999999999999</v>
      </c>
      <c r="AA129" s="276">
        <f>ROUND((Q124*U129*F124*O124/1000000),4)</f>
        <v>1.0602</v>
      </c>
      <c r="AB129" s="276">
        <f>ROUND((R124*V129*F124*O124/1000000),4)</f>
        <v>0.5877</v>
      </c>
      <c r="AC129" s="277" t="s">
        <v>157</v>
      </c>
      <c r="AD129" s="278" t="s">
        <v>153</v>
      </c>
      <c r="AE129" s="40">
        <f>ROUND((((X129*E124)/1800)),4)</f>
        <v>7.6499999999999999E-2</v>
      </c>
      <c r="AF129" s="40">
        <f>ROUND(((Z129+AA129+AB129)),4)</f>
        <v>4.5517000000000003</v>
      </c>
      <c r="AG129" s="254"/>
      <c r="AH129" s="254"/>
    </row>
    <row r="130" spans="1:34" s="61" customFormat="1" ht="15" customHeight="1" x14ac:dyDescent="0.25">
      <c r="A130" s="289"/>
      <c r="B130" s="1478" t="s">
        <v>568</v>
      </c>
      <c r="C130" s="274">
        <v>6</v>
      </c>
      <c r="D130" s="38" t="s">
        <v>556</v>
      </c>
      <c r="E130" s="38">
        <v>1</v>
      </c>
      <c r="F130" s="38">
        <v>3</v>
      </c>
      <c r="G130" s="38">
        <v>6</v>
      </c>
      <c r="H130" s="38">
        <v>60</v>
      </c>
      <c r="I130" s="38">
        <f>(8-1-0.75*2)*60*F130-K130-8*0.12*60</f>
        <v>288.89999999999998</v>
      </c>
      <c r="J130" s="38">
        <v>14</v>
      </c>
      <c r="K130" s="38">
        <f>(8-1-0.75*2)*0.65*60*F130</f>
        <v>643.5</v>
      </c>
      <c r="L130" s="38">
        <v>6.47</v>
      </c>
      <c r="M130" s="38">
        <v>6.47</v>
      </c>
      <c r="N130" s="38">
        <v>10</v>
      </c>
      <c r="O130" s="38">
        <f>E130/F130</f>
        <v>0.33333333333333331</v>
      </c>
      <c r="P130" s="38">
        <v>180</v>
      </c>
      <c r="Q130" s="38">
        <v>60</v>
      </c>
      <c r="R130" s="275">
        <v>30</v>
      </c>
      <c r="S130" s="275">
        <v>1.27</v>
      </c>
      <c r="T130" s="38">
        <f>ROUND((L130*I130+1.3*L130*K130+S130*H130),4)</f>
        <v>7357.8615</v>
      </c>
      <c r="U130" s="38">
        <f>ROUND((M130*I130+1.3*M130*K130+S130*H130),4)</f>
        <v>7357.8615</v>
      </c>
      <c r="V130" s="38">
        <f>ROUND((M130*I130+1.3*M130*K130+S130*H130),4)</f>
        <v>7357.8615</v>
      </c>
      <c r="W130" s="38">
        <f>ROUND((L130*J130+1.3*L130*N130+S130*G130),4)</f>
        <v>182.31</v>
      </c>
      <c r="X130" s="38">
        <f>ROUND((M130*J130+1.3*M130*N130+S130*G130),4)</f>
        <v>182.31</v>
      </c>
      <c r="Y130" s="38">
        <f>ROUND((M130*J130+1.3*M130*N130+S130*G130),4)</f>
        <v>182.31</v>
      </c>
      <c r="Z130" s="276">
        <f>ROUND((P130*T130*F130*O130/1000000),4)</f>
        <v>1.3244</v>
      </c>
      <c r="AA130" s="276">
        <f>ROUND((Q130*U130*F130*O130/1000000),4)</f>
        <v>0.4415</v>
      </c>
      <c r="AB130" s="276">
        <f>ROUND((R130*V130*F130*O130/1000000),4)</f>
        <v>0.22070000000000001</v>
      </c>
      <c r="AC130" s="277" t="s">
        <v>165</v>
      </c>
      <c r="AD130" s="278" t="s">
        <v>144</v>
      </c>
      <c r="AE130" s="40">
        <f>ROUND((((X130*E130)/1800)*0.8),4)</f>
        <v>8.1000000000000003E-2</v>
      </c>
      <c r="AF130" s="40">
        <f>ROUND(((Z130+AA130+AB130)*0.8),4)</f>
        <v>1.5892999999999999</v>
      </c>
      <c r="AG130" s="254"/>
      <c r="AH130" s="254"/>
    </row>
    <row r="131" spans="1:34" s="61" customFormat="1" ht="15" customHeight="1" x14ac:dyDescent="0.25">
      <c r="A131" s="289"/>
      <c r="B131" s="1634"/>
      <c r="C131" s="39"/>
      <c r="D131" s="39"/>
      <c r="E131" s="39"/>
      <c r="F131" s="39"/>
      <c r="G131" s="39"/>
      <c r="H131" s="39"/>
      <c r="I131" s="39"/>
      <c r="J131" s="39"/>
      <c r="K131" s="39"/>
      <c r="L131" s="119"/>
      <c r="M131" s="119"/>
      <c r="N131" s="39"/>
      <c r="O131" s="39"/>
      <c r="P131" s="39"/>
      <c r="Q131" s="39"/>
      <c r="R131" s="39"/>
      <c r="S131" s="281"/>
      <c r="T131" s="39"/>
      <c r="U131" s="39"/>
      <c r="V131" s="39"/>
      <c r="W131" s="39"/>
      <c r="X131" s="39"/>
      <c r="Y131" s="39"/>
      <c r="Z131" s="39"/>
      <c r="AA131" s="39"/>
      <c r="AB131" s="39"/>
      <c r="AC131" s="277" t="s">
        <v>166</v>
      </c>
      <c r="AD131" s="278" t="s">
        <v>167</v>
      </c>
      <c r="AE131" s="40">
        <f>ROUND((((X130*E130)/1800)*0.13),4)</f>
        <v>1.32E-2</v>
      </c>
      <c r="AF131" s="40">
        <f>ROUND(((Z130+AA130+AB130)*0.13),4)</f>
        <v>0.25829999999999997</v>
      </c>
      <c r="AG131" s="254"/>
      <c r="AH131" s="254"/>
    </row>
    <row r="132" spans="1:34" s="61" customFormat="1" ht="15" customHeight="1" x14ac:dyDescent="0.25">
      <c r="A132" s="289"/>
      <c r="B132" s="280" t="s">
        <v>590</v>
      </c>
      <c r="C132" s="283"/>
      <c r="D132" s="283"/>
      <c r="E132" s="39"/>
      <c r="F132" s="39"/>
      <c r="G132" s="39"/>
      <c r="H132" s="39"/>
      <c r="I132" s="39"/>
      <c r="J132" s="39"/>
      <c r="K132" s="39"/>
      <c r="L132" s="40">
        <v>0.51</v>
      </c>
      <c r="M132" s="40">
        <v>0.63</v>
      </c>
      <c r="N132" s="39"/>
      <c r="O132" s="39"/>
      <c r="P132" s="39"/>
      <c r="Q132" s="39"/>
      <c r="R132" s="39"/>
      <c r="S132" s="284">
        <v>0.25</v>
      </c>
      <c r="T132" s="38">
        <f>ROUND((L132*I130+1.3*L132*K130+S132*H130),4)</f>
        <v>588.97950000000003</v>
      </c>
      <c r="U132" s="38">
        <f>ROUND((M132*0.9*I130+1.3*M132*0.9*K130+S132*H130),4)</f>
        <v>653.13019999999995</v>
      </c>
      <c r="V132" s="38">
        <f>ROUND((M132*I130+1.3*M132*K130+S132*H130),4)</f>
        <v>724.0335</v>
      </c>
      <c r="W132" s="38">
        <f>ROUND((L132*J130+1.3*L132*N130+S132*G130),4)</f>
        <v>15.27</v>
      </c>
      <c r="X132" s="38">
        <f>ROUND((M132*0.9*J130+1.3*M132*0.9*N130+S132*G130),4)</f>
        <v>16.809000000000001</v>
      </c>
      <c r="Y132" s="38">
        <f>ROUND((M132*J130+1.3*M132*N130+S132*G130),4)</f>
        <v>18.510000000000002</v>
      </c>
      <c r="Z132" s="276">
        <f>ROUND((P130*T132*F130*O130/1000000),4)</f>
        <v>0.106</v>
      </c>
      <c r="AA132" s="276">
        <f>ROUND((Q130*U132*F130*O130/1000000),4)</f>
        <v>3.9199999999999999E-2</v>
      </c>
      <c r="AB132" s="276">
        <f>ROUND((R130*V132*F130*O130/1000000),4)</f>
        <v>2.1700000000000001E-2</v>
      </c>
      <c r="AC132" s="277" t="s">
        <v>547</v>
      </c>
      <c r="AD132" s="278" t="s">
        <v>169</v>
      </c>
      <c r="AE132" s="40">
        <f>ROUND((((X132*E130)/1800)),4)</f>
        <v>9.2999999999999992E-3</v>
      </c>
      <c r="AF132" s="40">
        <f>ROUND(((Z132+AA132+AB132)),5)</f>
        <v>0.16689999999999999</v>
      </c>
      <c r="AG132" s="254"/>
      <c r="AH132" s="254"/>
    </row>
    <row r="133" spans="1:34" s="61" customFormat="1" ht="15" customHeight="1" x14ac:dyDescent="0.25">
      <c r="A133" s="289"/>
      <c r="B133" s="280"/>
      <c r="C133" s="39"/>
      <c r="D133" s="39"/>
      <c r="E133" s="39"/>
      <c r="F133" s="39"/>
      <c r="G133" s="39"/>
      <c r="H133" s="39"/>
      <c r="I133" s="39"/>
      <c r="J133" s="39"/>
      <c r="K133" s="39"/>
      <c r="L133" s="40">
        <v>1.1399999999999999</v>
      </c>
      <c r="M133" s="40">
        <v>1.37</v>
      </c>
      <c r="N133" s="39"/>
      <c r="O133" s="39"/>
      <c r="P133" s="39"/>
      <c r="Q133" s="39"/>
      <c r="R133" s="39"/>
      <c r="S133" s="285">
        <v>0.79</v>
      </c>
      <c r="T133" s="38">
        <f>ROUND((L133*I130+1.3*L133*K130+S133*H130),4)</f>
        <v>1330.413</v>
      </c>
      <c r="U133" s="38">
        <f>ROUND((M133*0.9*I130+1.3*M133*0.9*K130+S133*H130),4)</f>
        <v>1435.0799</v>
      </c>
      <c r="V133" s="38">
        <f>ROUND((M133*I130+1.3*M133*K130+S133*H130),4)</f>
        <v>1589.2665</v>
      </c>
      <c r="W133" s="38">
        <f>ROUND((L133*J130+1.3*L133*N130+S133*G130),4)</f>
        <v>35.520000000000003</v>
      </c>
      <c r="X133" s="38">
        <f>ROUND((M133*0.9*J130+1.3*M133*0.9*N130+S133*G130),4)</f>
        <v>38.030999999999999</v>
      </c>
      <c r="Y133" s="38">
        <f>ROUND((M133*J130+1.3*N130+S133*G130),4)</f>
        <v>36.92</v>
      </c>
      <c r="Z133" s="276">
        <f>ROUND((P130*T133*F130*O130/1000000),4)</f>
        <v>0.23949999999999999</v>
      </c>
      <c r="AA133" s="276">
        <f>ROUND((Q130*U133*F130*O130/1000000),4)</f>
        <v>8.6099999999999996E-2</v>
      </c>
      <c r="AB133" s="276">
        <f>ROUND((R130*V133*F130*O130/1000000),4)</f>
        <v>4.7699999999999999E-2</v>
      </c>
      <c r="AC133" s="277" t="s">
        <v>548</v>
      </c>
      <c r="AD133" s="278" t="s">
        <v>549</v>
      </c>
      <c r="AE133" s="40">
        <f>ROUND((((X133*E130)/1800)),4)</f>
        <v>2.1100000000000001E-2</v>
      </c>
      <c r="AF133" s="40">
        <f>ROUND(((Z133+AA133+AB133)),4)</f>
        <v>0.37330000000000002</v>
      </c>
      <c r="AG133" s="254"/>
      <c r="AH133" s="254"/>
    </row>
    <row r="134" spans="1:34" s="61" customFormat="1" ht="15" customHeight="1" x14ac:dyDescent="0.25">
      <c r="A134" s="289"/>
      <c r="B134" s="280"/>
      <c r="C134" s="39"/>
      <c r="D134" s="39"/>
      <c r="E134" s="39"/>
      <c r="F134" s="39"/>
      <c r="G134" s="39"/>
      <c r="H134" s="39"/>
      <c r="I134" s="39"/>
      <c r="J134" s="39"/>
      <c r="K134" s="39"/>
      <c r="L134" s="40">
        <v>0.72</v>
      </c>
      <c r="M134" s="40">
        <v>1.08</v>
      </c>
      <c r="N134" s="39"/>
      <c r="O134" s="39"/>
      <c r="P134" s="39"/>
      <c r="Q134" s="39"/>
      <c r="R134" s="39"/>
      <c r="S134" s="285">
        <v>0.17</v>
      </c>
      <c r="T134" s="38">
        <f>ROUND((L134*I130+1.3*L134*K130+S134*H130),4)</f>
        <v>820.524</v>
      </c>
      <c r="U134" s="38">
        <f>ROUND((M134*0.9*I130+1.3*M134*0.9*K130+S134*H130),4)</f>
        <v>1104.1374000000001</v>
      </c>
      <c r="V134" s="38">
        <f>ROUND((M134*I130+1.3*M134*K130+S134*H130),4)</f>
        <v>1225.6859999999999</v>
      </c>
      <c r="W134" s="38">
        <f>ROUND((L134*J130+1.3*L134*N130+S134*G130),4)</f>
        <v>20.46</v>
      </c>
      <c r="X134" s="38">
        <f>ROUND((M134*0.9*J130+1.3*M134*0.9*N130+S134*G130),4)</f>
        <v>27.263999999999999</v>
      </c>
      <c r="Y134" s="38">
        <f>ROUND((M134*J130+1.3*M134*N130+S134*G130),4)</f>
        <v>30.18</v>
      </c>
      <c r="Z134" s="276">
        <f>ROUND((P130*T134*F130*O130/1000000),4)</f>
        <v>0.1477</v>
      </c>
      <c r="AA134" s="276">
        <f>ROUND((Q130*U134*F130*O130/1000000),4)</f>
        <v>6.6199999999999995E-2</v>
      </c>
      <c r="AB134" s="276">
        <f>ROUND((R130*V134*F130*O130/1000000),4)</f>
        <v>3.6799999999999999E-2</v>
      </c>
      <c r="AC134" s="277" t="s">
        <v>172</v>
      </c>
      <c r="AD134" s="278" t="s">
        <v>173</v>
      </c>
      <c r="AE134" s="40">
        <f>ROUND((((X134*E130)/1800)),4)</f>
        <v>1.5100000000000001E-2</v>
      </c>
      <c r="AF134" s="40">
        <f>ROUND(((Z134+AA134+AB134)),4)</f>
        <v>0.25069999999999998</v>
      </c>
      <c r="AG134" s="254"/>
      <c r="AH134" s="254"/>
    </row>
    <row r="135" spans="1:34" s="61" customFormat="1" ht="15" customHeight="1" x14ac:dyDescent="0.25">
      <c r="A135" s="289"/>
      <c r="B135" s="286"/>
      <c r="C135" s="119"/>
      <c r="D135" s="119"/>
      <c r="E135" s="119"/>
      <c r="F135" s="119"/>
      <c r="G135" s="119"/>
      <c r="H135" s="119"/>
      <c r="I135" s="119"/>
      <c r="J135" s="119"/>
      <c r="K135" s="119"/>
      <c r="L135" s="40">
        <v>3.37</v>
      </c>
      <c r="M135" s="40">
        <v>4.1100000000000003</v>
      </c>
      <c r="N135" s="119"/>
      <c r="O135" s="119"/>
      <c r="P135" s="119"/>
      <c r="Q135" s="119"/>
      <c r="R135" s="119"/>
      <c r="S135" s="285">
        <v>6.31</v>
      </c>
      <c r="T135" s="38">
        <f>ROUND((L135*I130+1.3*L135*K130+S135*H130),4)</f>
        <v>4171.3665000000001</v>
      </c>
      <c r="U135" s="38">
        <f>ROUND((M135*0.9*I130+1.3*M135*0.9*K130+S135*H130),4)</f>
        <v>4541.6396000000004</v>
      </c>
      <c r="V135" s="38">
        <f>ROUND((M135*I130+1.3*M135*K130+S135*H130),4)</f>
        <v>5004.1994999999997</v>
      </c>
      <c r="W135" s="38">
        <f>ROUND((L135*J130+1.3*L135*N130+S135*G130),4)</f>
        <v>128.85</v>
      </c>
      <c r="X135" s="38">
        <f>ROUND((M135*0.9*J130+1.3*M135*0.9*N130+S135*G130),4)</f>
        <v>137.733</v>
      </c>
      <c r="Y135" s="38">
        <f>ROUND((M135*J130+1.3*M135*N130+S135*G130),4)</f>
        <v>148.83000000000001</v>
      </c>
      <c r="Z135" s="276">
        <f>ROUND((P130*T135*F130*O130/1000000),4)</f>
        <v>0.75080000000000002</v>
      </c>
      <c r="AA135" s="276">
        <f>ROUND((Q130*U135*F130*O130/1000000),4)</f>
        <v>0.27250000000000002</v>
      </c>
      <c r="AB135" s="276">
        <f>ROUND((R130*V135*F130*O130/1000000),4)</f>
        <v>0.15010000000000001</v>
      </c>
      <c r="AC135" s="277" t="s">
        <v>157</v>
      </c>
      <c r="AD135" s="278" t="s">
        <v>153</v>
      </c>
      <c r="AE135" s="40">
        <f>ROUND((((X135*E130)/1800)),4)</f>
        <v>7.6499999999999999E-2</v>
      </c>
      <c r="AF135" s="40">
        <f>ROUND(((Z135+AA135+AB135)),4)</f>
        <v>1.1734</v>
      </c>
      <c r="AG135" s="254"/>
      <c r="AH135" s="254"/>
    </row>
    <row r="136" spans="1:34" s="61" customFormat="1" ht="15" customHeight="1" x14ac:dyDescent="0.25">
      <c r="A136" s="290"/>
      <c r="B136" s="1478" t="s">
        <v>568</v>
      </c>
      <c r="C136" s="274">
        <v>7</v>
      </c>
      <c r="D136" s="38" t="s">
        <v>560</v>
      </c>
      <c r="E136" s="38">
        <v>1</v>
      </c>
      <c r="F136" s="38">
        <v>1</v>
      </c>
      <c r="G136" s="38">
        <v>6</v>
      </c>
      <c r="H136" s="38">
        <v>60</v>
      </c>
      <c r="I136" s="38">
        <f>(8-1-0.75*2)*60*F136-K136-8*0.12*60</f>
        <v>57.900000000000006</v>
      </c>
      <c r="J136" s="38">
        <v>14</v>
      </c>
      <c r="K136" s="38">
        <f>(8-1-0.75*2)*0.65*60*F136</f>
        <v>214.5</v>
      </c>
      <c r="L136" s="38">
        <v>10.16</v>
      </c>
      <c r="M136" s="38">
        <v>10.16</v>
      </c>
      <c r="N136" s="38">
        <v>10</v>
      </c>
      <c r="O136" s="38">
        <f>E136/F136</f>
        <v>1</v>
      </c>
      <c r="P136" s="38">
        <v>180</v>
      </c>
      <c r="Q136" s="38">
        <v>60</v>
      </c>
      <c r="R136" s="275">
        <v>30</v>
      </c>
      <c r="S136" s="275">
        <v>1.99</v>
      </c>
      <c r="T136" s="38">
        <f>ROUND((L136*I136+1.3*L136*K136+S136*H136),4)</f>
        <v>3540.78</v>
      </c>
      <c r="U136" s="38">
        <f>ROUND((M136*I136+1.3*M136*K136+S136*H136),4)</f>
        <v>3540.78</v>
      </c>
      <c r="V136" s="38">
        <f>ROUND((M136*I136+1.3*M136*K136+S136*H136),4)</f>
        <v>3540.78</v>
      </c>
      <c r="W136" s="38">
        <f>ROUND((L136*J136+1.3*L136*N136+S136*G136),4)</f>
        <v>286.26</v>
      </c>
      <c r="X136" s="38">
        <f>ROUND((M136*J136+1.3*M136*N136+S136*G136),4)</f>
        <v>286.26</v>
      </c>
      <c r="Y136" s="38">
        <f>ROUND((M136*J136+1.3*M136*N136+S136*G136),4)</f>
        <v>286.26</v>
      </c>
      <c r="Z136" s="276">
        <f>ROUND((P136*T136*F136*O136/1000000),4)</f>
        <v>0.63729999999999998</v>
      </c>
      <c r="AA136" s="276">
        <f>ROUND((Q136*U136*F136*O136/1000000),4)</f>
        <v>0.21240000000000001</v>
      </c>
      <c r="AB136" s="276">
        <f>ROUND((R136*V136*F136*O136/1000000),4)</f>
        <v>0.1062</v>
      </c>
      <c r="AC136" s="277" t="s">
        <v>165</v>
      </c>
      <c r="AD136" s="278" t="s">
        <v>144</v>
      </c>
      <c r="AE136" s="40">
        <f>ROUND((((X136*E136)/1800)*0.8),4)</f>
        <v>0.12720000000000001</v>
      </c>
      <c r="AF136" s="40">
        <f>ROUND(((Z136+AA136+AB136)*0.8),4)</f>
        <v>0.76470000000000005</v>
      </c>
      <c r="AG136" s="288"/>
      <c r="AH136" s="288"/>
    </row>
    <row r="137" spans="1:34" s="61" customFormat="1" ht="15" customHeight="1" x14ac:dyDescent="0.25">
      <c r="A137" s="290"/>
      <c r="B137" s="1634"/>
      <c r="C137" s="39"/>
      <c r="D137" s="39"/>
      <c r="E137" s="39"/>
      <c r="F137" s="39"/>
      <c r="G137" s="39"/>
      <c r="H137" s="39"/>
      <c r="I137" s="39"/>
      <c r="J137" s="39"/>
      <c r="K137" s="39"/>
      <c r="L137" s="119"/>
      <c r="M137" s="119"/>
      <c r="N137" s="39"/>
      <c r="O137" s="39"/>
      <c r="P137" s="39"/>
      <c r="Q137" s="39"/>
      <c r="R137" s="39"/>
      <c r="S137" s="281"/>
      <c r="T137" s="39"/>
      <c r="U137" s="39"/>
      <c r="V137" s="39"/>
      <c r="W137" s="39"/>
      <c r="X137" s="39"/>
      <c r="Y137" s="39"/>
      <c r="Z137" s="39"/>
      <c r="AA137" s="39"/>
      <c r="AB137" s="39"/>
      <c r="AC137" s="277" t="s">
        <v>166</v>
      </c>
      <c r="AD137" s="278" t="s">
        <v>167</v>
      </c>
      <c r="AE137" s="40">
        <f>ROUND((((X136*E136)/1800)*0.13),4)</f>
        <v>2.07E-2</v>
      </c>
      <c r="AF137" s="40">
        <f>ROUND(((Z136+AA136+AB136)*0.13),4)</f>
        <v>0.12429999999999999</v>
      </c>
      <c r="AG137" s="288"/>
      <c r="AH137" s="288"/>
    </row>
    <row r="138" spans="1:34" s="61" customFormat="1" ht="15" customHeight="1" x14ac:dyDescent="0.25">
      <c r="A138" s="290"/>
      <c r="B138" s="1634" t="s">
        <v>591</v>
      </c>
      <c r="C138" s="283"/>
      <c r="D138" s="283"/>
      <c r="E138" s="39"/>
      <c r="F138" s="39"/>
      <c r="G138" s="39"/>
      <c r="H138" s="39"/>
      <c r="I138" s="39"/>
      <c r="J138" s="39"/>
      <c r="K138" s="39"/>
      <c r="L138" s="40">
        <v>0.8</v>
      </c>
      <c r="M138" s="40">
        <v>0.98</v>
      </c>
      <c r="N138" s="39"/>
      <c r="O138" s="39"/>
      <c r="P138" s="39"/>
      <c r="Q138" s="39"/>
      <c r="R138" s="39"/>
      <c r="S138" s="284">
        <v>0.39</v>
      </c>
      <c r="T138" s="38">
        <f>ROUND((L138*I136+1.3*L138*K136+S138*H136),4)</f>
        <v>292.8</v>
      </c>
      <c r="U138" s="38">
        <f>ROUND((M138*0.9*I136+1.3*M138*0.9*K136+S138*H136),4)</f>
        <v>320.4135</v>
      </c>
      <c r="V138" s="38">
        <f>ROUND((M138*I136+1.3*M138*K136+S138*H136),4)</f>
        <v>353.41500000000002</v>
      </c>
      <c r="W138" s="38">
        <f>ROUND((L138*J136+1.3*L138*N136+S138*G136),4)</f>
        <v>23.94</v>
      </c>
      <c r="X138" s="38">
        <f>ROUND((M138*0.9*J136+1.3*M138*0.9*N136+S138*G136),4)</f>
        <v>26.154</v>
      </c>
      <c r="Y138" s="38">
        <f>ROUND((M138*J136+1.3*M138*N136+S138*G136),4)</f>
        <v>28.8</v>
      </c>
      <c r="Z138" s="276">
        <f>ROUND((P136*T138*F136*O136/1000000),4)</f>
        <v>5.2699999999999997E-2</v>
      </c>
      <c r="AA138" s="276">
        <f>ROUND((Q136*U138*F136*O136/1000000),4)</f>
        <v>1.9199999999999998E-2</v>
      </c>
      <c r="AB138" s="276">
        <f>ROUND((R136*V138*F136*O136/1000000),4)</f>
        <v>1.06E-2</v>
      </c>
      <c r="AC138" s="277" t="s">
        <v>547</v>
      </c>
      <c r="AD138" s="278" t="s">
        <v>169</v>
      </c>
      <c r="AE138" s="40">
        <f>ROUND((((X138*E136)/1800)),4)</f>
        <v>1.4500000000000001E-2</v>
      </c>
      <c r="AF138" s="40">
        <f>ROUND(((Z138+AA138+AB138)),5)</f>
        <v>8.2500000000000004E-2</v>
      </c>
      <c r="AG138" s="288"/>
      <c r="AH138" s="288"/>
    </row>
    <row r="139" spans="1:34" s="61" customFormat="1" ht="15" customHeight="1" x14ac:dyDescent="0.25">
      <c r="A139" s="290"/>
      <c r="B139" s="1634"/>
      <c r="C139" s="39"/>
      <c r="D139" s="39"/>
      <c r="E139" s="39"/>
      <c r="F139" s="39"/>
      <c r="G139" s="39"/>
      <c r="H139" s="39"/>
      <c r="I139" s="39"/>
      <c r="J139" s="39"/>
      <c r="K139" s="39"/>
      <c r="L139" s="40">
        <v>1.79</v>
      </c>
      <c r="M139" s="40">
        <v>2.15</v>
      </c>
      <c r="N139" s="39"/>
      <c r="O139" s="39"/>
      <c r="P139" s="39"/>
      <c r="Q139" s="39"/>
      <c r="R139" s="39"/>
      <c r="S139" s="285">
        <v>1.24</v>
      </c>
      <c r="T139" s="38">
        <f>ROUND((L139*I136+1.3*L139*K136+S139*H136),4)</f>
        <v>677.1825</v>
      </c>
      <c r="U139" s="38">
        <f>ROUND((M139*0.9*I136+1.3*M139*0.9*K136+S139*H136),4)</f>
        <v>726.01130000000001</v>
      </c>
      <c r="V139" s="38">
        <f>ROUND((M139*I136+1.3*M139*K136+S139*H136),4)</f>
        <v>798.41250000000002</v>
      </c>
      <c r="W139" s="38">
        <f>ROUND((L139*J136+1.3*L139*N136+S139*G136),4)</f>
        <v>55.77</v>
      </c>
      <c r="X139" s="38">
        <f>ROUND((M139*0.9*J136+1.3*M139*0.9*N136+S139*G136),4)</f>
        <v>59.685000000000002</v>
      </c>
      <c r="Y139" s="38">
        <f>ROUND((M139*J136+1.3*N136+S139*G136),4)</f>
        <v>50.54</v>
      </c>
      <c r="Z139" s="276">
        <f>ROUND((P136*T139*F136*O136/1000000),4)</f>
        <v>0.12189999999999999</v>
      </c>
      <c r="AA139" s="276">
        <f>ROUND((Q136*U139*F136*O136/1000000),4)</f>
        <v>4.36E-2</v>
      </c>
      <c r="AB139" s="276">
        <f>ROUND((R136*V139*F136*O136/1000000),4)</f>
        <v>2.4E-2</v>
      </c>
      <c r="AC139" s="277" t="s">
        <v>548</v>
      </c>
      <c r="AD139" s="278" t="s">
        <v>549</v>
      </c>
      <c r="AE139" s="40">
        <f>ROUND((((X139*E136)/1800)),4)</f>
        <v>3.32E-2</v>
      </c>
      <c r="AF139" s="40">
        <f>ROUND(((Z139+AA139+AB139)),4)</f>
        <v>0.1895</v>
      </c>
      <c r="AG139" s="288"/>
      <c r="AH139" s="288"/>
    </row>
    <row r="140" spans="1:34" s="61" customFormat="1" ht="15" customHeight="1" x14ac:dyDescent="0.25">
      <c r="A140" s="290"/>
      <c r="B140" s="280"/>
      <c r="C140" s="39"/>
      <c r="D140" s="39"/>
      <c r="E140" s="39"/>
      <c r="F140" s="39"/>
      <c r="G140" s="39"/>
      <c r="H140" s="39"/>
      <c r="I140" s="39"/>
      <c r="J140" s="39"/>
      <c r="K140" s="39"/>
      <c r="L140" s="40">
        <v>1.1299999999999999</v>
      </c>
      <c r="M140" s="40">
        <v>1.7</v>
      </c>
      <c r="N140" s="39"/>
      <c r="O140" s="39"/>
      <c r="P140" s="39"/>
      <c r="Q140" s="39"/>
      <c r="R140" s="39"/>
      <c r="S140" s="285">
        <v>0.26</v>
      </c>
      <c r="T140" s="38">
        <f>ROUND((L140*I136+1.3*L140*K136+S140*H136),4)</f>
        <v>396.1275</v>
      </c>
      <c r="U140" s="38">
        <f>ROUND((M140*0.9*I136+1.3*M140*0.9*K136+S140*H136),4)</f>
        <v>530.82749999999999</v>
      </c>
      <c r="V140" s="38">
        <f>ROUND((M140*I136+1.3*M140*K136+S140*H136),4)</f>
        <v>588.07500000000005</v>
      </c>
      <c r="W140" s="38">
        <f>ROUND((L140*J136+1.3*L140*N136+S140*G136),4)</f>
        <v>32.07</v>
      </c>
      <c r="X140" s="38">
        <f>ROUND((M140*0.9*J136+1.3*M140*0.9*N136+S140*G136),4)</f>
        <v>42.87</v>
      </c>
      <c r="Y140" s="38">
        <f>ROUND((M140*J136+1.3*M140*N136+S140*G136),4)</f>
        <v>47.46</v>
      </c>
      <c r="Z140" s="276">
        <f>ROUND((P136*T140*F136*O136/1000000),4)</f>
        <v>7.1300000000000002E-2</v>
      </c>
      <c r="AA140" s="276">
        <f>ROUND((Q136*U140*F136*O136/1000000),4)</f>
        <v>3.1800000000000002E-2</v>
      </c>
      <c r="AB140" s="276">
        <f>ROUND((R136*V140*F136*O136/1000000),4)</f>
        <v>1.7600000000000001E-2</v>
      </c>
      <c r="AC140" s="277" t="s">
        <v>172</v>
      </c>
      <c r="AD140" s="278" t="s">
        <v>173</v>
      </c>
      <c r="AE140" s="40">
        <f>ROUND((((X140*E136)/1800)),4)</f>
        <v>2.3800000000000002E-2</v>
      </c>
      <c r="AF140" s="40">
        <f>ROUND(((Z140+AA140+AB140)),4)</f>
        <v>0.1207</v>
      </c>
      <c r="AG140" s="288"/>
      <c r="AH140" s="288"/>
    </row>
    <row r="141" spans="1:34" s="61" customFormat="1" ht="15" customHeight="1" x14ac:dyDescent="0.25">
      <c r="A141" s="290"/>
      <c r="B141" s="286"/>
      <c r="C141" s="119"/>
      <c r="D141" s="119"/>
      <c r="E141" s="119"/>
      <c r="F141" s="119"/>
      <c r="G141" s="119"/>
      <c r="H141" s="119"/>
      <c r="I141" s="119"/>
      <c r="J141" s="119"/>
      <c r="K141" s="119"/>
      <c r="L141" s="40">
        <v>5.3</v>
      </c>
      <c r="M141" s="40">
        <v>6.47</v>
      </c>
      <c r="N141" s="119"/>
      <c r="O141" s="119"/>
      <c r="P141" s="119"/>
      <c r="Q141" s="119"/>
      <c r="R141" s="119"/>
      <c r="S141" s="285">
        <v>9.92</v>
      </c>
      <c r="T141" s="38">
        <f>ROUND((L141*I136+1.3*L141*K136+S141*H136),4)</f>
        <v>2379.9749999999999</v>
      </c>
      <c r="U141" s="38">
        <f>ROUND((M141*0.9*I136+1.3*M141*0.9*K136+S141*H136),4)</f>
        <v>2556.0953</v>
      </c>
      <c r="V141" s="38">
        <f>ROUND((M141*I136+1.3*M141*K136+S141*H136),4)</f>
        <v>2773.9724999999999</v>
      </c>
      <c r="W141" s="38">
        <f>ROUND((L141*J136+1.3*L141*N136+S141*G136),4)</f>
        <v>202.62</v>
      </c>
      <c r="X141" s="38">
        <f>ROUND((M141*0.9*J136+1.3*M141*0.9*N136+S141*G136),4)</f>
        <v>216.74100000000001</v>
      </c>
      <c r="Y141" s="38">
        <f>ROUND((M141*J136+1.3*M141*N136+S141*G136),4)</f>
        <v>234.21</v>
      </c>
      <c r="Z141" s="276">
        <f>ROUND((P136*T141*F136*O136/1000000),4)</f>
        <v>0.4284</v>
      </c>
      <c r="AA141" s="276">
        <f>ROUND((Q136*U141*F136*O136/1000000),4)</f>
        <v>0.15340000000000001</v>
      </c>
      <c r="AB141" s="276">
        <f>ROUND((R136*V141*F136*O136/1000000),4)</f>
        <v>8.3199999999999996E-2</v>
      </c>
      <c r="AC141" s="277" t="s">
        <v>157</v>
      </c>
      <c r="AD141" s="278" t="s">
        <v>153</v>
      </c>
      <c r="AE141" s="40">
        <f>ROUND((((X141*E136)/1800)),4)</f>
        <v>0.12039999999999999</v>
      </c>
      <c r="AF141" s="40">
        <f>ROUND(((Z141+AA141+AB141)),4)</f>
        <v>0.66500000000000004</v>
      </c>
      <c r="AG141" s="288"/>
      <c r="AH141" s="288"/>
    </row>
    <row r="142" spans="1:34" s="61" customFormat="1" ht="15" customHeight="1" x14ac:dyDescent="0.25">
      <c r="A142" s="290"/>
      <c r="B142" s="274" t="s">
        <v>592</v>
      </c>
      <c r="C142" s="274">
        <v>6</v>
      </c>
      <c r="D142" s="38" t="s">
        <v>556</v>
      </c>
      <c r="E142" s="38">
        <v>1</v>
      </c>
      <c r="F142" s="38">
        <v>2</v>
      </c>
      <c r="G142" s="38">
        <v>6</v>
      </c>
      <c r="H142" s="38">
        <v>60</v>
      </c>
      <c r="I142" s="38">
        <f>(8-1-0.75*2)*60*F142-K142-8*0.12*60</f>
        <v>173.4</v>
      </c>
      <c r="J142" s="38">
        <v>14</v>
      </c>
      <c r="K142" s="38">
        <f>(8-1-0.75*2)*0.65*60*F142</f>
        <v>429</v>
      </c>
      <c r="L142" s="38">
        <v>6.47</v>
      </c>
      <c r="M142" s="38">
        <v>6.47</v>
      </c>
      <c r="N142" s="38">
        <v>10</v>
      </c>
      <c r="O142" s="38">
        <f>E142/F142</f>
        <v>0.5</v>
      </c>
      <c r="P142" s="38">
        <v>180</v>
      </c>
      <c r="Q142" s="38">
        <v>60</v>
      </c>
      <c r="R142" s="275">
        <v>30</v>
      </c>
      <c r="S142" s="275">
        <v>1.27</v>
      </c>
      <c r="T142" s="38">
        <f>ROUND((L142*I142+1.3*L142*K142+S142*H142),4)</f>
        <v>4806.4170000000004</v>
      </c>
      <c r="U142" s="38">
        <f>ROUND((M142*I142+1.3*M142*K142+S142*H142),4)</f>
        <v>4806.4170000000004</v>
      </c>
      <c r="V142" s="38">
        <f>ROUND((M142*I142+1.3*M142*K142+S142*H142),4)</f>
        <v>4806.4170000000004</v>
      </c>
      <c r="W142" s="38">
        <f>ROUND((L142*J142+1.3*L142*N142+S142*G142),4)</f>
        <v>182.31</v>
      </c>
      <c r="X142" s="38">
        <f>ROUND((M142*J142+1.3*M142*N142+S142*G142),4)</f>
        <v>182.31</v>
      </c>
      <c r="Y142" s="38">
        <f>ROUND((M142*J142+1.3*M142*N142+S142*G142),4)</f>
        <v>182.31</v>
      </c>
      <c r="Z142" s="276">
        <f>ROUND((P142*T142*F142*O142/1000000),4)</f>
        <v>0.86519999999999997</v>
      </c>
      <c r="AA142" s="276">
        <f>ROUND((Q142*U142*F142*O142/1000000),4)</f>
        <v>0.28839999999999999</v>
      </c>
      <c r="AB142" s="276">
        <f>ROUND((R142*V142*F142*O142/1000000),4)</f>
        <v>0.14419999999999999</v>
      </c>
      <c r="AC142" s="277" t="s">
        <v>165</v>
      </c>
      <c r="AD142" s="278" t="s">
        <v>144</v>
      </c>
      <c r="AE142" s="40">
        <f>ROUND((((X142*E142)/1800)*0.8),4)</f>
        <v>8.1000000000000003E-2</v>
      </c>
      <c r="AF142" s="40">
        <f>ROUND(((Z142+AA142+AB142)*0.8),4)</f>
        <v>1.0382</v>
      </c>
      <c r="AG142" s="288"/>
      <c r="AH142" s="288"/>
    </row>
    <row r="143" spans="1:34" s="61" customFormat="1" ht="15" customHeight="1" x14ac:dyDescent="0.25">
      <c r="A143" s="290"/>
      <c r="B143" s="1634" t="s">
        <v>593</v>
      </c>
      <c r="C143" s="39"/>
      <c r="D143" s="39"/>
      <c r="E143" s="39"/>
      <c r="F143" s="39"/>
      <c r="G143" s="39"/>
      <c r="H143" s="39"/>
      <c r="I143" s="39"/>
      <c r="J143" s="39"/>
      <c r="K143" s="39"/>
      <c r="L143" s="119"/>
      <c r="M143" s="119"/>
      <c r="N143" s="39"/>
      <c r="O143" s="39"/>
      <c r="P143" s="39"/>
      <c r="Q143" s="39"/>
      <c r="R143" s="39"/>
      <c r="S143" s="281"/>
      <c r="T143" s="39"/>
      <c r="U143" s="39"/>
      <c r="V143" s="39"/>
      <c r="W143" s="39"/>
      <c r="X143" s="39"/>
      <c r="Y143" s="39"/>
      <c r="Z143" s="39"/>
      <c r="AA143" s="39"/>
      <c r="AB143" s="39"/>
      <c r="AC143" s="277" t="s">
        <v>166</v>
      </c>
      <c r="AD143" s="278" t="s">
        <v>167</v>
      </c>
      <c r="AE143" s="40">
        <f>ROUND((((X142*E142)/1800)*0.13),4)</f>
        <v>1.32E-2</v>
      </c>
      <c r="AF143" s="40">
        <f>ROUND(((Z142+AA142+AB142)*0.13),4)</f>
        <v>0.16869999999999999</v>
      </c>
      <c r="AG143" s="288"/>
      <c r="AH143" s="288"/>
    </row>
    <row r="144" spans="1:34" s="61" customFormat="1" ht="15" customHeight="1" x14ac:dyDescent="0.25">
      <c r="A144" s="290"/>
      <c r="B144" s="1634"/>
      <c r="C144" s="283"/>
      <c r="D144" s="283"/>
      <c r="E144" s="39"/>
      <c r="F144" s="39"/>
      <c r="G144" s="39"/>
      <c r="H144" s="39"/>
      <c r="I144" s="39"/>
      <c r="J144" s="39"/>
      <c r="K144" s="39"/>
      <c r="L144" s="40">
        <v>0.51</v>
      </c>
      <c r="M144" s="40">
        <v>0.63</v>
      </c>
      <c r="N144" s="39"/>
      <c r="O144" s="39"/>
      <c r="P144" s="39"/>
      <c r="Q144" s="39"/>
      <c r="R144" s="39"/>
      <c r="S144" s="284">
        <v>0.25</v>
      </c>
      <c r="T144" s="38">
        <f>ROUND((L144*I142+1.3*L144*K142+S144*H142),4)</f>
        <v>387.86099999999999</v>
      </c>
      <c r="U144" s="38">
        <f>ROUND((M144*0.9*I142+1.3*M144*0.9*K142+S144*H142),4)</f>
        <v>429.53370000000001</v>
      </c>
      <c r="V144" s="38">
        <f>ROUND((M144*I142+1.3*M144*K142+S144*H142),4)</f>
        <v>475.59300000000002</v>
      </c>
      <c r="W144" s="38">
        <f>ROUND((L144*J142+1.3*L144*N142+S144*G142),4)</f>
        <v>15.27</v>
      </c>
      <c r="X144" s="38">
        <f>ROUND((M144*0.9*J142+1.3*M144*0.9*N142+S144*G142),4)</f>
        <v>16.809000000000001</v>
      </c>
      <c r="Y144" s="38">
        <f>ROUND((M144*J142+1.3*M144*N142+S144*G142),4)</f>
        <v>18.510000000000002</v>
      </c>
      <c r="Z144" s="276">
        <f>ROUND((P142*T144*F142*O142/1000000),4)</f>
        <v>6.9800000000000001E-2</v>
      </c>
      <c r="AA144" s="276">
        <f>ROUND((Q142*U144*F142*O142/1000000),4)</f>
        <v>2.58E-2</v>
      </c>
      <c r="AB144" s="276">
        <f>ROUND((R142*V144*F142*O142/1000000),4)</f>
        <v>1.43E-2</v>
      </c>
      <c r="AC144" s="277" t="s">
        <v>547</v>
      </c>
      <c r="AD144" s="278" t="s">
        <v>169</v>
      </c>
      <c r="AE144" s="40">
        <f>ROUND((((X144*E142)/1800)),4)</f>
        <v>9.2999999999999992E-3</v>
      </c>
      <c r="AF144" s="40">
        <f>ROUND(((Z144+AA144+AB144)),5)</f>
        <v>0.1099</v>
      </c>
      <c r="AG144" s="288"/>
      <c r="AH144" s="288"/>
    </row>
    <row r="145" spans="1:34" s="61" customFormat="1" ht="15" customHeight="1" x14ac:dyDescent="0.25">
      <c r="A145" s="290"/>
      <c r="B145" s="280"/>
      <c r="C145" s="39"/>
      <c r="D145" s="39"/>
      <c r="E145" s="39"/>
      <c r="F145" s="39"/>
      <c r="G145" s="39"/>
      <c r="H145" s="39"/>
      <c r="I145" s="39"/>
      <c r="J145" s="39"/>
      <c r="K145" s="39"/>
      <c r="L145" s="40">
        <v>1.1399999999999999</v>
      </c>
      <c r="M145" s="40">
        <v>1.37</v>
      </c>
      <c r="N145" s="39"/>
      <c r="O145" s="39"/>
      <c r="P145" s="39"/>
      <c r="Q145" s="39"/>
      <c r="R145" s="39"/>
      <c r="S145" s="285">
        <v>0.79</v>
      </c>
      <c r="T145" s="38">
        <f>ROUND((L145*I142+1.3*L145*K142+S145*H142),4)</f>
        <v>880.85400000000004</v>
      </c>
      <c r="U145" s="38">
        <f>ROUND((M145*0.9*I142+1.3*M145*0.9*K142+S145*H142),4)</f>
        <v>948.84630000000004</v>
      </c>
      <c r="V145" s="38">
        <f>ROUND((M145*I142+1.3*M145*K142+S145*H142),4)</f>
        <v>1049.0070000000001</v>
      </c>
      <c r="W145" s="38">
        <f>ROUND((L145*J142+1.3*L145*N142+S145*G142),4)</f>
        <v>35.520000000000003</v>
      </c>
      <c r="X145" s="38">
        <f>ROUND((M145*0.9*J142+1.3*M145*0.9*N142+S145*G142),4)</f>
        <v>38.030999999999999</v>
      </c>
      <c r="Y145" s="38">
        <f>ROUND((M145*J142+1.3*N142+S145*G142),4)</f>
        <v>36.92</v>
      </c>
      <c r="Z145" s="276">
        <f>ROUND((P142*T145*F142*O142/1000000),4)</f>
        <v>0.15859999999999999</v>
      </c>
      <c r="AA145" s="276">
        <f>ROUND((Q142*U145*F142*O142/1000000),4)</f>
        <v>5.6899999999999999E-2</v>
      </c>
      <c r="AB145" s="276">
        <f>ROUND((R142*V145*F142*O142/1000000),4)</f>
        <v>3.15E-2</v>
      </c>
      <c r="AC145" s="277" t="s">
        <v>548</v>
      </c>
      <c r="AD145" s="278" t="s">
        <v>549</v>
      </c>
      <c r="AE145" s="40">
        <f>ROUND((((X145*E142)/1800)),4)</f>
        <v>2.1100000000000001E-2</v>
      </c>
      <c r="AF145" s="40">
        <f>ROUND(((Z145+AA145+AB145)),4)</f>
        <v>0.247</v>
      </c>
      <c r="AG145" s="288"/>
      <c r="AH145" s="288"/>
    </row>
    <row r="146" spans="1:34" s="61" customFormat="1" ht="15" customHeight="1" x14ac:dyDescent="0.25">
      <c r="A146" s="290"/>
      <c r="B146" s="280"/>
      <c r="C146" s="39"/>
      <c r="D146" s="39"/>
      <c r="E146" s="39"/>
      <c r="F146" s="39"/>
      <c r="G146" s="39"/>
      <c r="H146" s="39"/>
      <c r="I146" s="39"/>
      <c r="J146" s="39"/>
      <c r="K146" s="39"/>
      <c r="L146" s="40">
        <v>0.72</v>
      </c>
      <c r="M146" s="40">
        <v>1.08</v>
      </c>
      <c r="N146" s="39"/>
      <c r="O146" s="39"/>
      <c r="P146" s="39"/>
      <c r="Q146" s="39"/>
      <c r="R146" s="39"/>
      <c r="S146" s="285">
        <v>0.17</v>
      </c>
      <c r="T146" s="38">
        <f>ROUND((L146*I142+1.3*L146*K142+S146*H142),4)</f>
        <v>536.59199999999998</v>
      </c>
      <c r="U146" s="38">
        <f>ROUND((M146*0.9*I142+1.3*M146*0.9*K142+S146*H142),4)</f>
        <v>720.82920000000001</v>
      </c>
      <c r="V146" s="38">
        <f>ROUND((M146*I142+1.3*M146*K142+S146*H142),4)</f>
        <v>799.78800000000001</v>
      </c>
      <c r="W146" s="38">
        <f>ROUND((L146*J142+1.3*L146*N142+S146*G142),4)</f>
        <v>20.46</v>
      </c>
      <c r="X146" s="38">
        <f>ROUND((M146*0.9*J142+1.3*M146*0.9*N142+S146*G142),4)</f>
        <v>27.263999999999999</v>
      </c>
      <c r="Y146" s="38">
        <f>ROUND((M146*J142+1.3*M146*N142+S146*G142),4)</f>
        <v>30.18</v>
      </c>
      <c r="Z146" s="276">
        <f>ROUND((P142*T146*F142*O142/1000000),4)</f>
        <v>9.6600000000000005E-2</v>
      </c>
      <c r="AA146" s="276">
        <f>ROUND((Q142*U146*F142*O142/1000000),4)</f>
        <v>4.3200000000000002E-2</v>
      </c>
      <c r="AB146" s="276">
        <f>ROUND((R142*V146*F142*O142/1000000),4)</f>
        <v>2.4E-2</v>
      </c>
      <c r="AC146" s="277" t="s">
        <v>172</v>
      </c>
      <c r="AD146" s="278" t="s">
        <v>173</v>
      </c>
      <c r="AE146" s="40">
        <f>ROUND((((X146*E142)/1800)),4)</f>
        <v>1.5100000000000001E-2</v>
      </c>
      <c r="AF146" s="40">
        <f>ROUND(((Z146+AA146+AB146)),4)</f>
        <v>0.1638</v>
      </c>
      <c r="AG146" s="288"/>
      <c r="AH146" s="288"/>
    </row>
    <row r="147" spans="1:34" s="61" customFormat="1" ht="15" customHeight="1" x14ac:dyDescent="0.25">
      <c r="A147" s="290"/>
      <c r="B147" s="286"/>
      <c r="C147" s="119"/>
      <c r="D147" s="119"/>
      <c r="E147" s="119"/>
      <c r="F147" s="119"/>
      <c r="G147" s="119"/>
      <c r="H147" s="119"/>
      <c r="I147" s="119"/>
      <c r="J147" s="119"/>
      <c r="K147" s="119"/>
      <c r="L147" s="40">
        <v>3.37</v>
      </c>
      <c r="M147" s="40">
        <v>4.1100000000000003</v>
      </c>
      <c r="N147" s="119"/>
      <c r="O147" s="119"/>
      <c r="P147" s="119"/>
      <c r="Q147" s="119"/>
      <c r="R147" s="119"/>
      <c r="S147" s="285">
        <v>6.31</v>
      </c>
      <c r="T147" s="38">
        <f>ROUND((L147*I142+1.3*L147*K142+S147*H142),4)</f>
        <v>2842.4070000000002</v>
      </c>
      <c r="U147" s="38">
        <f>ROUND((M147*0.9*I142+1.3*M147*0.9*K142+S147*H142),4)</f>
        <v>3082.9389000000001</v>
      </c>
      <c r="V147" s="38">
        <f>ROUND((M147*I142+1.3*M147*K142+S147*H142),4)</f>
        <v>3383.4209999999998</v>
      </c>
      <c r="W147" s="38">
        <f>ROUND((L147*J142+1.3*L147*N142+S147*G142),4)</f>
        <v>128.85</v>
      </c>
      <c r="X147" s="38">
        <f>ROUND((M147*0.9*J142+1.3*M147*0.9*N142+S147*G142),4)</f>
        <v>137.733</v>
      </c>
      <c r="Y147" s="38">
        <f>ROUND((M147*J142+1.3*M147*N142+S147*G142),4)</f>
        <v>148.83000000000001</v>
      </c>
      <c r="Z147" s="276">
        <f>ROUND((P142*T147*F142*O142/1000000),4)</f>
        <v>0.51160000000000005</v>
      </c>
      <c r="AA147" s="276">
        <f>ROUND((Q142*U147*F142*O142/1000000),4)</f>
        <v>0.185</v>
      </c>
      <c r="AB147" s="276">
        <f>ROUND((R142*V147*F142*O142/1000000),4)</f>
        <v>0.10150000000000001</v>
      </c>
      <c r="AC147" s="277" t="s">
        <v>157</v>
      </c>
      <c r="AD147" s="278" t="s">
        <v>153</v>
      </c>
      <c r="AE147" s="40">
        <f>ROUND((((X147*E142)/1800)),4)</f>
        <v>7.6499999999999999E-2</v>
      </c>
      <c r="AF147" s="40">
        <f>ROUND(((Z147+AA147+AB147)),4)</f>
        <v>0.79810000000000003</v>
      </c>
      <c r="AG147" s="288"/>
      <c r="AH147" s="288"/>
    </row>
    <row r="148" spans="1:34" s="61" customFormat="1" ht="15" customHeight="1" x14ac:dyDescent="0.25">
      <c r="A148" s="290"/>
      <c r="B148" s="274" t="s">
        <v>592</v>
      </c>
      <c r="C148" s="274">
        <v>5</v>
      </c>
      <c r="D148" s="38" t="s">
        <v>552</v>
      </c>
      <c r="E148" s="38">
        <v>1</v>
      </c>
      <c r="F148" s="38">
        <v>11</v>
      </c>
      <c r="G148" s="38">
        <v>6</v>
      </c>
      <c r="H148" s="38">
        <v>60</v>
      </c>
      <c r="I148" s="38">
        <f>(8-1-0.75*2)*60*F148-K148-8*0.12*60</f>
        <v>1212.9000000000001</v>
      </c>
      <c r="J148" s="38">
        <v>14</v>
      </c>
      <c r="K148" s="38">
        <f>(8-1-0.75*2)*0.65*60*F148</f>
        <v>2359.5</v>
      </c>
      <c r="L148" s="38">
        <v>4.01</v>
      </c>
      <c r="M148" s="38">
        <v>4.01</v>
      </c>
      <c r="N148" s="38">
        <v>10</v>
      </c>
      <c r="O148" s="38">
        <f>E148/F148</f>
        <v>9.0909090909090912E-2</v>
      </c>
      <c r="P148" s="38">
        <v>180</v>
      </c>
      <c r="Q148" s="38">
        <v>60</v>
      </c>
      <c r="R148" s="275">
        <v>30</v>
      </c>
      <c r="S148" s="275">
        <v>0.78</v>
      </c>
      <c r="T148" s="38">
        <f>ROUND((L148*I148+1.3*L148*K148+S148*H148),4)</f>
        <v>17210.602500000001</v>
      </c>
      <c r="U148" s="38">
        <f>ROUND((M148*I148+1.3*M148*K148+S148*H148),4)</f>
        <v>17210.602500000001</v>
      </c>
      <c r="V148" s="38">
        <f>ROUND((M148*I148+1.3*M148*K148+S148*H148),4)</f>
        <v>17210.602500000001</v>
      </c>
      <c r="W148" s="38">
        <f>ROUND((L148*J148+1.3*L148*N148+S148*G148),4)</f>
        <v>112.95</v>
      </c>
      <c r="X148" s="38">
        <f>ROUND((M148*J148+1.3*M148*N148+S148*G148),4)</f>
        <v>112.95</v>
      </c>
      <c r="Y148" s="38">
        <f>ROUND((M148*J148+1.3*M148*N148+S148*G148),4)</f>
        <v>112.95</v>
      </c>
      <c r="Z148" s="276">
        <f>ROUND((P148*T148*F148*O148/1000000),4)</f>
        <v>3.0979000000000001</v>
      </c>
      <c r="AA148" s="276">
        <f>ROUND((Q148*U148*F148*O148/1000000),4)</f>
        <v>1.0326</v>
      </c>
      <c r="AB148" s="276">
        <f>ROUND((R148*V148*F148*O148/1000000),4)</f>
        <v>0.51629999999999998</v>
      </c>
      <c r="AC148" s="277" t="s">
        <v>165</v>
      </c>
      <c r="AD148" s="278" t="s">
        <v>144</v>
      </c>
      <c r="AE148" s="40">
        <f>ROUND((((X148*E148)/1800)*0.8),4)</f>
        <v>5.0200000000000002E-2</v>
      </c>
      <c r="AF148" s="40">
        <f>ROUND(((Z148+AA148+AB148)*0.8),4)</f>
        <v>3.7174</v>
      </c>
      <c r="AG148" s="288"/>
      <c r="AH148" s="288"/>
    </row>
    <row r="149" spans="1:34" s="61" customFormat="1" ht="15" customHeight="1" x14ac:dyDescent="0.25">
      <c r="A149" s="290"/>
      <c r="B149" s="279" t="s">
        <v>594</v>
      </c>
      <c r="C149" s="280"/>
      <c r="D149" s="39"/>
      <c r="E149" s="39"/>
      <c r="F149" s="39"/>
      <c r="G149" s="39"/>
      <c r="H149" s="39"/>
      <c r="I149" s="39"/>
      <c r="J149" s="39"/>
      <c r="K149" s="39"/>
      <c r="L149" s="119"/>
      <c r="M149" s="119"/>
      <c r="N149" s="39"/>
      <c r="O149" s="39"/>
      <c r="P149" s="39"/>
      <c r="Q149" s="39"/>
      <c r="R149" s="39"/>
      <c r="S149" s="281"/>
      <c r="T149" s="39"/>
      <c r="U149" s="39"/>
      <c r="V149" s="39"/>
      <c r="W149" s="39"/>
      <c r="X149" s="39"/>
      <c r="Y149" s="39"/>
      <c r="Z149" s="39"/>
      <c r="AA149" s="39"/>
      <c r="AB149" s="39"/>
      <c r="AC149" s="277" t="s">
        <v>166</v>
      </c>
      <c r="AD149" s="278" t="s">
        <v>167</v>
      </c>
      <c r="AE149" s="40">
        <f>ROUND((((X148*E148)/1800)*0.13),4)</f>
        <v>8.2000000000000007E-3</v>
      </c>
      <c r="AF149" s="40">
        <f>ROUND(((Z148+AA148+AB148)*0.13),4)</f>
        <v>0.60409999999999997</v>
      </c>
      <c r="AG149" s="288"/>
      <c r="AH149" s="288"/>
    </row>
    <row r="150" spans="1:34" s="61" customFormat="1" ht="15" customHeight="1" x14ac:dyDescent="0.25">
      <c r="A150" s="290"/>
      <c r="B150" s="280"/>
      <c r="C150" s="282"/>
      <c r="D150" s="283"/>
      <c r="E150" s="39"/>
      <c r="F150" s="39"/>
      <c r="G150" s="39"/>
      <c r="H150" s="39"/>
      <c r="I150" s="39"/>
      <c r="J150" s="39"/>
      <c r="K150" s="39"/>
      <c r="L150" s="40">
        <v>0.31</v>
      </c>
      <c r="M150" s="40">
        <v>0.38</v>
      </c>
      <c r="N150" s="39"/>
      <c r="O150" s="39"/>
      <c r="P150" s="39"/>
      <c r="Q150" s="39"/>
      <c r="R150" s="39"/>
      <c r="S150" s="284">
        <v>0.16</v>
      </c>
      <c r="T150" s="38">
        <f>ROUND((L150*I148+1.3*L150*K148+S150*H148),4)</f>
        <v>1336.4775</v>
      </c>
      <c r="U150" s="38">
        <f>ROUND((M150*0.9*I148+1.3*M150*0.9*K148+S150*H148),4)</f>
        <v>1473.4455</v>
      </c>
      <c r="V150" s="38">
        <f>ROUND((M150*I148+1.3*M150*K148+S150*H148),4)</f>
        <v>1636.095</v>
      </c>
      <c r="W150" s="38">
        <f>ROUND((L150*J148+1.3*L150*N148+S150*G148),4)</f>
        <v>9.33</v>
      </c>
      <c r="X150" s="38">
        <f>ROUND((M150*0.9*J148+1.3*M150*0.9*N148+S150*G148),4)</f>
        <v>10.194000000000001</v>
      </c>
      <c r="Y150" s="38">
        <f>ROUND((M150*J148+1.3*M150*N148+S150*G148),4)</f>
        <v>11.22</v>
      </c>
      <c r="Z150" s="276">
        <f>ROUND((P148*T150*F148*O148/1000000),4)</f>
        <v>0.24060000000000001</v>
      </c>
      <c r="AA150" s="276">
        <f>ROUND((Q148*U150*F148*O148/1000000),4)</f>
        <v>8.8400000000000006E-2</v>
      </c>
      <c r="AB150" s="276">
        <f>ROUND((R148*V150*F148*O148/1000000),4)</f>
        <v>4.9099999999999998E-2</v>
      </c>
      <c r="AC150" s="277" t="s">
        <v>547</v>
      </c>
      <c r="AD150" s="278" t="s">
        <v>169</v>
      </c>
      <c r="AE150" s="40">
        <f>ROUND((((X150*E148)/1800)),4)</f>
        <v>5.7000000000000002E-3</v>
      </c>
      <c r="AF150" s="40">
        <f>ROUND(((Z150+AA150+AB150)),5)</f>
        <v>0.37809999999999999</v>
      </c>
      <c r="AG150" s="288"/>
      <c r="AH150" s="288"/>
    </row>
    <row r="151" spans="1:34" s="61" customFormat="1" ht="15" customHeight="1" x14ac:dyDescent="0.25">
      <c r="A151" s="290"/>
      <c r="B151" s="280"/>
      <c r="C151" s="280"/>
      <c r="D151" s="39"/>
      <c r="E151" s="39"/>
      <c r="F151" s="39"/>
      <c r="G151" s="39"/>
      <c r="H151" s="39"/>
      <c r="I151" s="39"/>
      <c r="J151" s="39"/>
      <c r="K151" s="39"/>
      <c r="L151" s="40">
        <v>0.71</v>
      </c>
      <c r="M151" s="40">
        <v>0.85</v>
      </c>
      <c r="N151" s="39"/>
      <c r="O151" s="39"/>
      <c r="P151" s="39"/>
      <c r="Q151" s="39"/>
      <c r="R151" s="39"/>
      <c r="S151" s="285">
        <v>0.49</v>
      </c>
      <c r="T151" s="38">
        <f>ROUND((L151*I148+1.3*L151*K148+S151*H148),4)</f>
        <v>3068.3775000000001</v>
      </c>
      <c r="U151" s="38">
        <f>ROUND((M151*0.9*I148+1.3*M151*0.9*K148+S151*H148),4)</f>
        <v>3303.7912999999999</v>
      </c>
      <c r="V151" s="38">
        <f>ROUND((M151*I148+1.3*M151*K148+S151*H148),4)</f>
        <v>3667.6125000000002</v>
      </c>
      <c r="W151" s="38">
        <f>ROUND((L151*J148+1.3*L151*N148+S151*G148),4)</f>
        <v>22.11</v>
      </c>
      <c r="X151" s="38">
        <f>ROUND((M151*0.9*J148+1.3*M151*0.9*N148+S151*G148),4)</f>
        <v>23.594999999999999</v>
      </c>
      <c r="Y151" s="38">
        <f>ROUND((M151*J148+1.3*N148+S151*G148),4)</f>
        <v>27.84</v>
      </c>
      <c r="Z151" s="276">
        <f>ROUND((P148*T151*F148*O148/1000000),4)</f>
        <v>0.55230000000000001</v>
      </c>
      <c r="AA151" s="276">
        <f>ROUND((Q148*U151*F148*O148/1000000),4)</f>
        <v>0.19819999999999999</v>
      </c>
      <c r="AB151" s="276">
        <f>ROUND((R148*V151*F148*O148/1000000),4)</f>
        <v>0.11</v>
      </c>
      <c r="AC151" s="277" t="s">
        <v>548</v>
      </c>
      <c r="AD151" s="278" t="s">
        <v>549</v>
      </c>
      <c r="AE151" s="40">
        <f>ROUND((((X151*E148)/1800)),4)</f>
        <v>1.3100000000000001E-2</v>
      </c>
      <c r="AF151" s="40">
        <f>ROUND(((Z151+AA151+AB151)),4)</f>
        <v>0.86050000000000004</v>
      </c>
      <c r="AG151" s="288"/>
      <c r="AH151" s="288"/>
    </row>
    <row r="152" spans="1:34" s="61" customFormat="1" ht="15" customHeight="1" x14ac:dyDescent="0.25">
      <c r="A152" s="290"/>
      <c r="B152" s="280"/>
      <c r="C152" s="280"/>
      <c r="D152" s="39"/>
      <c r="E152" s="39"/>
      <c r="F152" s="39"/>
      <c r="G152" s="39"/>
      <c r="H152" s="39"/>
      <c r="I152" s="39"/>
      <c r="J152" s="39"/>
      <c r="K152" s="39"/>
      <c r="L152" s="40">
        <v>0.45</v>
      </c>
      <c r="M152" s="40">
        <v>0.67</v>
      </c>
      <c r="N152" s="39"/>
      <c r="O152" s="39"/>
      <c r="P152" s="39"/>
      <c r="Q152" s="39"/>
      <c r="R152" s="39"/>
      <c r="S152" s="285">
        <v>0.1</v>
      </c>
      <c r="T152" s="38">
        <f>ROUND((L152*I148+1.3*L152*K148+S152*H148),4)</f>
        <v>1932.1125</v>
      </c>
      <c r="U152" s="38">
        <f>ROUND((M152*0.9*I148+1.3*M152*0.9*K148+S152*H148),4)</f>
        <v>2586.9908</v>
      </c>
      <c r="V152" s="38">
        <f>ROUND((M152*I148+1.3*M152*K148+S152*H148),4)</f>
        <v>2873.7674999999999</v>
      </c>
      <c r="W152" s="38">
        <f>ROUND((L152*J148+1.3*L152*N148+S152*G148),4)</f>
        <v>12.75</v>
      </c>
      <c r="X152" s="38">
        <f>ROUND((M152*0.9*J148+1.3*M152*0.9*N148+S152*G148),4)</f>
        <v>16.881</v>
      </c>
      <c r="Y152" s="38">
        <f>ROUND((M152*J148+1.3*M152*N148+S152*G148),4)</f>
        <v>18.690000000000001</v>
      </c>
      <c r="Z152" s="276">
        <f>ROUND((P148*T152*F148*O148/1000000),4)</f>
        <v>0.3478</v>
      </c>
      <c r="AA152" s="276">
        <f>ROUND((Q148*U152*F148*O148/1000000),4)</f>
        <v>0.1552</v>
      </c>
      <c r="AB152" s="276">
        <f>ROUND((R148*V152*F148*O148/1000000),4)</f>
        <v>8.6199999999999999E-2</v>
      </c>
      <c r="AC152" s="277" t="s">
        <v>172</v>
      </c>
      <c r="AD152" s="278" t="s">
        <v>173</v>
      </c>
      <c r="AE152" s="40">
        <f>ROUND((((X152*E148)/1800)),4)</f>
        <v>9.4000000000000004E-3</v>
      </c>
      <c r="AF152" s="40">
        <f>ROUND(((Z152+AA152+AB152)),4)</f>
        <v>0.58919999999999995</v>
      </c>
      <c r="AG152" s="288"/>
      <c r="AH152" s="288"/>
    </row>
    <row r="153" spans="1:34" s="61" customFormat="1" ht="15" customHeight="1" x14ac:dyDescent="0.25">
      <c r="A153" s="290"/>
      <c r="B153" s="286"/>
      <c r="C153" s="286"/>
      <c r="D153" s="119"/>
      <c r="E153" s="119"/>
      <c r="F153" s="119"/>
      <c r="G153" s="119"/>
      <c r="H153" s="119"/>
      <c r="I153" s="119"/>
      <c r="J153" s="119"/>
      <c r="K153" s="119"/>
      <c r="L153" s="40">
        <v>2.09</v>
      </c>
      <c r="M153" s="40">
        <v>2.5499999999999998</v>
      </c>
      <c r="N153" s="119"/>
      <c r="O153" s="119"/>
      <c r="P153" s="119"/>
      <c r="Q153" s="119"/>
      <c r="R153" s="119"/>
      <c r="S153" s="285">
        <v>3.91</v>
      </c>
      <c r="T153" s="38">
        <f>ROUND((L153*I148+1.3*L153*K148+S153*H148),4)</f>
        <v>9180.3225000000002</v>
      </c>
      <c r="U153" s="38">
        <f>ROUND((M153*0.9*I148+1.3*M153*0.9*K148+S153*H148),4)</f>
        <v>10057.773800000001</v>
      </c>
      <c r="V153" s="38">
        <f>ROUND((M153*I148+1.3*M153*K148+S153*H148),4)</f>
        <v>11149.237499999999</v>
      </c>
      <c r="W153" s="38">
        <f>ROUND((L153*J148+1.3*L153*N148+S153*G148),4)</f>
        <v>79.89</v>
      </c>
      <c r="X153" s="38">
        <f>ROUND((M153*0.9*J148+1.3*M153*0.9*N148+S153*G148),4)</f>
        <v>85.424999999999997</v>
      </c>
      <c r="Y153" s="38">
        <f>ROUND((M153*J148+1.3*M153*N148+S153*G148),4)</f>
        <v>92.31</v>
      </c>
      <c r="Z153" s="276">
        <f>ROUND((P148*T153*F148*O148/1000000),4)</f>
        <v>1.6525000000000001</v>
      </c>
      <c r="AA153" s="276">
        <f>ROUND((Q148*U153*F148*O148/1000000),4)</f>
        <v>0.60350000000000004</v>
      </c>
      <c r="AB153" s="276">
        <f>ROUND((R148*V153*F148*O148/1000000),4)</f>
        <v>0.33450000000000002</v>
      </c>
      <c r="AC153" s="277" t="s">
        <v>157</v>
      </c>
      <c r="AD153" s="278" t="s">
        <v>153</v>
      </c>
      <c r="AE153" s="40">
        <f>ROUND((((X153*E148)/1800)),4)</f>
        <v>4.7500000000000001E-2</v>
      </c>
      <c r="AF153" s="40">
        <f>ROUND(((Z153+AA153+AB153)),4)</f>
        <v>2.5905</v>
      </c>
      <c r="AG153" s="288"/>
      <c r="AH153" s="288"/>
    </row>
    <row r="154" spans="1:34" s="61" customFormat="1" ht="15" customHeight="1" x14ac:dyDescent="0.25">
      <c r="A154" s="290"/>
      <c r="B154" s="274" t="s">
        <v>570</v>
      </c>
      <c r="C154" s="274">
        <v>6</v>
      </c>
      <c r="D154" s="38" t="s">
        <v>556</v>
      </c>
      <c r="E154" s="38">
        <v>1</v>
      </c>
      <c r="F154" s="38">
        <v>12</v>
      </c>
      <c r="G154" s="38">
        <v>6</v>
      </c>
      <c r="H154" s="38">
        <v>60</v>
      </c>
      <c r="I154" s="38">
        <f>(8-1-0.75*2)*60*F154-K154-8*0.12*60</f>
        <v>1328.4</v>
      </c>
      <c r="J154" s="38">
        <v>14</v>
      </c>
      <c r="K154" s="38">
        <f>(8-1-0.75*2)*0.65*60*F154</f>
        <v>2574</v>
      </c>
      <c r="L154" s="38">
        <v>6.47</v>
      </c>
      <c r="M154" s="38">
        <v>6.47</v>
      </c>
      <c r="N154" s="38">
        <v>10</v>
      </c>
      <c r="O154" s="38">
        <f>E154/F154</f>
        <v>8.3333333333333329E-2</v>
      </c>
      <c r="P154" s="38">
        <v>180</v>
      </c>
      <c r="Q154" s="38">
        <v>60</v>
      </c>
      <c r="R154" s="275">
        <v>30</v>
      </c>
      <c r="S154" s="275">
        <v>1.27</v>
      </c>
      <c r="T154" s="38">
        <f>ROUND((L154*I154+1.3*L154*K154+S154*H154),4)</f>
        <v>30320.862000000001</v>
      </c>
      <c r="U154" s="38">
        <f>ROUND((M154*I154+1.3*M154*K154+S154*H154),4)</f>
        <v>30320.862000000001</v>
      </c>
      <c r="V154" s="38">
        <f>ROUND((M154*I154+1.3*M154*K154+S154*H154),4)</f>
        <v>30320.862000000001</v>
      </c>
      <c r="W154" s="38">
        <f>ROUND((L154*J154+1.3*L154*N154+S154*G154),4)</f>
        <v>182.31</v>
      </c>
      <c r="X154" s="38">
        <f>ROUND((M154*J154+1.3*M154*N154+S154*G154),4)</f>
        <v>182.31</v>
      </c>
      <c r="Y154" s="38">
        <f>ROUND((M154*J154+1.3*M154*N154+S154*G154),4)</f>
        <v>182.31</v>
      </c>
      <c r="Z154" s="276">
        <f>ROUND((P154*T154*F154*O154/1000000),4)</f>
        <v>5.4577999999999998</v>
      </c>
      <c r="AA154" s="276">
        <f>ROUND((Q154*U154*F154*O154/1000000),4)</f>
        <v>1.8192999999999999</v>
      </c>
      <c r="AB154" s="276">
        <f>ROUND((R154*V154*F154*O154/1000000),4)</f>
        <v>0.90959999999999996</v>
      </c>
      <c r="AC154" s="277" t="s">
        <v>165</v>
      </c>
      <c r="AD154" s="278" t="s">
        <v>144</v>
      </c>
      <c r="AE154" s="40">
        <f>ROUND((((X154*E154)/1800)*0.8),4)</f>
        <v>8.1000000000000003E-2</v>
      </c>
      <c r="AF154" s="40">
        <f>ROUND(((Z154+AA154+AB154)*0.8),4)</f>
        <v>6.5494000000000003</v>
      </c>
      <c r="AG154" s="254"/>
      <c r="AH154" s="254"/>
    </row>
    <row r="155" spans="1:34" s="61" customFormat="1" ht="15" customHeight="1" x14ac:dyDescent="0.25">
      <c r="A155" s="290"/>
      <c r="B155" s="280" t="s">
        <v>571</v>
      </c>
      <c r="C155" s="39"/>
      <c r="D155" s="39"/>
      <c r="E155" s="39"/>
      <c r="F155" s="39"/>
      <c r="G155" s="39"/>
      <c r="H155" s="39"/>
      <c r="I155" s="39"/>
      <c r="J155" s="39"/>
      <c r="K155" s="39"/>
      <c r="L155" s="119"/>
      <c r="M155" s="119"/>
      <c r="N155" s="39"/>
      <c r="O155" s="39"/>
      <c r="P155" s="39"/>
      <c r="Q155" s="39"/>
      <c r="R155" s="39"/>
      <c r="S155" s="281"/>
      <c r="T155" s="39"/>
      <c r="U155" s="39"/>
      <c r="V155" s="39"/>
      <c r="W155" s="39"/>
      <c r="X155" s="39"/>
      <c r="Y155" s="39"/>
      <c r="Z155" s="39"/>
      <c r="AA155" s="39"/>
      <c r="AB155" s="39"/>
      <c r="AC155" s="277" t="s">
        <v>166</v>
      </c>
      <c r="AD155" s="278" t="s">
        <v>167</v>
      </c>
      <c r="AE155" s="40">
        <f>ROUND((((X154*E154)/1800)*0.13),4)</f>
        <v>1.32E-2</v>
      </c>
      <c r="AF155" s="40">
        <f>ROUND(((Z154+AA154+AB154)*0.13),4)</f>
        <v>1.0643</v>
      </c>
      <c r="AG155" s="254"/>
      <c r="AH155" s="254"/>
    </row>
    <row r="156" spans="1:34" s="61" customFormat="1" ht="15" customHeight="1" x14ac:dyDescent="0.25">
      <c r="A156" s="290"/>
      <c r="B156" s="287"/>
      <c r="C156" s="283"/>
      <c r="D156" s="283"/>
      <c r="E156" s="39"/>
      <c r="F156" s="39"/>
      <c r="G156" s="39"/>
      <c r="H156" s="39"/>
      <c r="I156" s="39"/>
      <c r="J156" s="39"/>
      <c r="K156" s="39"/>
      <c r="L156" s="40">
        <v>0.51</v>
      </c>
      <c r="M156" s="40">
        <v>0.63</v>
      </c>
      <c r="N156" s="39"/>
      <c r="O156" s="39"/>
      <c r="P156" s="39"/>
      <c r="Q156" s="39"/>
      <c r="R156" s="39"/>
      <c r="S156" s="284">
        <v>0.25</v>
      </c>
      <c r="T156" s="38">
        <f>ROUND((L156*I154+1.3*L156*K154+S156*H154),4)</f>
        <v>2399.0459999999998</v>
      </c>
      <c r="U156" s="38">
        <f>ROUND((M156*0.9*I154+1.3*M156*0.9*K154+S156*H154),4)</f>
        <v>2665.4982</v>
      </c>
      <c r="V156" s="38">
        <f>ROUND((M156*I154+1.3*M156*K154+S156*H154),4)</f>
        <v>2959.998</v>
      </c>
      <c r="W156" s="38">
        <f>ROUND((L156*J154+1.3*L156*N154+S156*G154),4)</f>
        <v>15.27</v>
      </c>
      <c r="X156" s="38">
        <f>ROUND((M156*0.9*J154+1.3*M156*0.9*N154+S156*G154),4)</f>
        <v>16.809000000000001</v>
      </c>
      <c r="Y156" s="38">
        <f>ROUND((M156*J154+1.3*M156*N154+S156*G154),4)</f>
        <v>18.510000000000002</v>
      </c>
      <c r="Z156" s="276">
        <f>ROUND((P154*T156*F154*O154/1000000),4)</f>
        <v>0.43180000000000002</v>
      </c>
      <c r="AA156" s="276">
        <f>ROUND((Q154*U156*F154*O154/1000000),4)</f>
        <v>0.15989999999999999</v>
      </c>
      <c r="AB156" s="276">
        <f>ROUND((R154*V156*F154*O154/1000000),4)</f>
        <v>8.8800000000000004E-2</v>
      </c>
      <c r="AC156" s="277" t="s">
        <v>547</v>
      </c>
      <c r="AD156" s="278" t="s">
        <v>169</v>
      </c>
      <c r="AE156" s="40">
        <f>ROUND((((X156*E154)/1800)),4)</f>
        <v>9.2999999999999992E-3</v>
      </c>
      <c r="AF156" s="40">
        <f>ROUND(((Z156+AA156+AB156)),5)</f>
        <v>0.68049999999999999</v>
      </c>
      <c r="AG156" s="254"/>
      <c r="AH156" s="254"/>
    </row>
    <row r="157" spans="1:34" s="61" customFormat="1" ht="15" customHeight="1" x14ac:dyDescent="0.25">
      <c r="A157" s="290"/>
      <c r="B157" s="280"/>
      <c r="C157" s="39"/>
      <c r="D157" s="39"/>
      <c r="E157" s="39"/>
      <c r="F157" s="39"/>
      <c r="G157" s="39"/>
      <c r="H157" s="39"/>
      <c r="I157" s="39"/>
      <c r="J157" s="39"/>
      <c r="K157" s="39"/>
      <c r="L157" s="40">
        <v>1.1399999999999999</v>
      </c>
      <c r="M157" s="40">
        <v>1.37</v>
      </c>
      <c r="N157" s="39"/>
      <c r="O157" s="39"/>
      <c r="P157" s="39"/>
      <c r="Q157" s="39"/>
      <c r="R157" s="39"/>
      <c r="S157" s="285">
        <v>0.79</v>
      </c>
      <c r="T157" s="38">
        <f>ROUND((L157*I154+1.3*L157*K154+S157*H154),4)</f>
        <v>5376.4440000000004</v>
      </c>
      <c r="U157" s="38">
        <f>ROUND((M157*0.9*I154+1.3*M157*0.9*K154+S157*H154),4)</f>
        <v>5811.1818000000003</v>
      </c>
      <c r="V157" s="38">
        <f>ROUND((M157*I154+1.3*M157*K154+S157*H154),4)</f>
        <v>6451.6019999999999</v>
      </c>
      <c r="W157" s="38">
        <f>ROUND((L157*J154+1.3*L157*N154+S157*G154),4)</f>
        <v>35.520000000000003</v>
      </c>
      <c r="X157" s="38">
        <f>ROUND((M157*0.9*J154+1.3*M157*0.9*N154+S157*G154),4)</f>
        <v>38.030999999999999</v>
      </c>
      <c r="Y157" s="38">
        <f>ROUND((M157*J154+1.3*N154+S157*G154),4)</f>
        <v>36.92</v>
      </c>
      <c r="Z157" s="276">
        <f>ROUND((P154*T157*F154*O154/1000000),4)</f>
        <v>0.96779999999999999</v>
      </c>
      <c r="AA157" s="276">
        <f>ROUND((Q154*U157*F154*O154/1000000),4)</f>
        <v>0.34870000000000001</v>
      </c>
      <c r="AB157" s="276">
        <f>ROUND((R154*V157*F154*O154/1000000),4)</f>
        <v>0.19350000000000001</v>
      </c>
      <c r="AC157" s="277" t="s">
        <v>548</v>
      </c>
      <c r="AD157" s="278" t="s">
        <v>549</v>
      </c>
      <c r="AE157" s="40">
        <f>ROUND((((X157*E154)/1800)),4)</f>
        <v>2.1100000000000001E-2</v>
      </c>
      <c r="AF157" s="40">
        <f>ROUND(((Z157+AA157+AB157)),4)</f>
        <v>1.51</v>
      </c>
      <c r="AG157" s="254"/>
      <c r="AH157" s="254"/>
    </row>
    <row r="158" spans="1:34" s="61" customFormat="1" ht="15" customHeight="1" x14ac:dyDescent="0.25">
      <c r="A158" s="290"/>
      <c r="B158" s="280"/>
      <c r="C158" s="39"/>
      <c r="D158" s="39"/>
      <c r="E158" s="39"/>
      <c r="F158" s="39"/>
      <c r="G158" s="39"/>
      <c r="H158" s="39"/>
      <c r="I158" s="39"/>
      <c r="J158" s="39"/>
      <c r="K158" s="39"/>
      <c r="L158" s="40">
        <v>0.72</v>
      </c>
      <c r="M158" s="40">
        <v>1.08</v>
      </c>
      <c r="N158" s="39"/>
      <c r="O158" s="39"/>
      <c r="P158" s="39"/>
      <c r="Q158" s="39"/>
      <c r="R158" s="39"/>
      <c r="S158" s="285">
        <v>0.17</v>
      </c>
      <c r="T158" s="38">
        <f>ROUND((L158*I154+1.3*L158*K154+S158*H154),4)</f>
        <v>3375.9119999999998</v>
      </c>
      <c r="U158" s="38">
        <f>ROUND((M158*0.9*I154+1.3*M158*0.9*K154+S158*H154),4)</f>
        <v>4553.9111999999996</v>
      </c>
      <c r="V158" s="38">
        <f>ROUND((M158*I154+1.3*M158*K154+S158*H154),4)</f>
        <v>5058.768</v>
      </c>
      <c r="W158" s="38">
        <f>ROUND((L158*J154+1.3*L158*N154+S158*G154),4)</f>
        <v>20.46</v>
      </c>
      <c r="X158" s="38">
        <f>ROUND((M158*0.9*J154+1.3*M158*0.9*N154+S158*G154),4)</f>
        <v>27.263999999999999</v>
      </c>
      <c r="Y158" s="38">
        <f>ROUND((M158*J154+1.3*M158*N154+S158*G154),4)</f>
        <v>30.18</v>
      </c>
      <c r="Z158" s="276">
        <f>ROUND((P154*T158*F154*O154/1000000),4)</f>
        <v>0.60770000000000002</v>
      </c>
      <c r="AA158" s="276">
        <f>ROUND((Q154*U158*F154*O154/1000000),4)</f>
        <v>0.2732</v>
      </c>
      <c r="AB158" s="276">
        <f>ROUND((R154*V158*F154*O154/1000000),4)</f>
        <v>0.15179999999999999</v>
      </c>
      <c r="AC158" s="277" t="s">
        <v>172</v>
      </c>
      <c r="AD158" s="278" t="s">
        <v>173</v>
      </c>
      <c r="AE158" s="40">
        <f>ROUND((((X158*E154)/1800)),4)</f>
        <v>1.5100000000000001E-2</v>
      </c>
      <c r="AF158" s="40">
        <f>ROUND(((Z158+AA158+AB158)),4)</f>
        <v>1.0327</v>
      </c>
      <c r="AG158" s="254"/>
      <c r="AH158" s="254"/>
    </row>
    <row r="159" spans="1:34" s="61" customFormat="1" ht="15" customHeight="1" x14ac:dyDescent="0.25">
      <c r="A159" s="290"/>
      <c r="B159" s="286"/>
      <c r="C159" s="119"/>
      <c r="D159" s="119"/>
      <c r="E159" s="119"/>
      <c r="F159" s="119"/>
      <c r="G159" s="119"/>
      <c r="H159" s="119"/>
      <c r="I159" s="119"/>
      <c r="J159" s="119"/>
      <c r="K159" s="119"/>
      <c r="L159" s="40">
        <v>3.37</v>
      </c>
      <c r="M159" s="40">
        <v>4.1100000000000003</v>
      </c>
      <c r="N159" s="119"/>
      <c r="O159" s="119"/>
      <c r="P159" s="119"/>
      <c r="Q159" s="119"/>
      <c r="R159" s="119"/>
      <c r="S159" s="285">
        <v>6.31</v>
      </c>
      <c r="T159" s="38">
        <f>ROUND((L159*I154+1.3*L159*K154+S159*H154),4)</f>
        <v>16132.002</v>
      </c>
      <c r="U159" s="38">
        <f>ROUND((M159*0.9*I154+1.3*M159*0.9*K154+S159*H154),4)</f>
        <v>17669.945400000001</v>
      </c>
      <c r="V159" s="38">
        <f>ROUND((M159*I154+1.3*M159*K154+S159*H154),4)</f>
        <v>19591.205999999998</v>
      </c>
      <c r="W159" s="38">
        <f>ROUND((L159*J154+1.3*L159*N154+S159*G154),4)</f>
        <v>128.85</v>
      </c>
      <c r="X159" s="38">
        <f>ROUND((M159*0.9*J154+1.3*M159*0.9*N154+S159*G154),4)</f>
        <v>137.733</v>
      </c>
      <c r="Y159" s="38">
        <f>ROUND((M159*J154+1.3*M159*N154+S159*G154),4)</f>
        <v>148.83000000000001</v>
      </c>
      <c r="Z159" s="276">
        <f>ROUND((P154*T159*F154*O154/1000000),4)</f>
        <v>2.9037999999999999</v>
      </c>
      <c r="AA159" s="276">
        <f>ROUND((Q154*U159*F154*O154/1000000),4)</f>
        <v>1.0602</v>
      </c>
      <c r="AB159" s="276">
        <f>ROUND((R154*V159*F154*O154/1000000),4)</f>
        <v>0.5877</v>
      </c>
      <c r="AC159" s="277" t="s">
        <v>157</v>
      </c>
      <c r="AD159" s="278" t="s">
        <v>153</v>
      </c>
      <c r="AE159" s="40">
        <f>ROUND((((X159*E154)/1800)),4)</f>
        <v>7.6499999999999999E-2</v>
      </c>
      <c r="AF159" s="40">
        <f>ROUND(((Z159+AA159+AB159)),4)</f>
        <v>4.5517000000000003</v>
      </c>
      <c r="AG159" s="254"/>
      <c r="AH159" s="254"/>
    </row>
    <row r="160" spans="1:34" s="61" customFormat="1" ht="15" customHeight="1" x14ac:dyDescent="0.25">
      <c r="A160" s="290"/>
      <c r="B160" s="274" t="s">
        <v>572</v>
      </c>
      <c r="C160" s="274">
        <v>6</v>
      </c>
      <c r="D160" s="38" t="s">
        <v>556</v>
      </c>
      <c r="E160" s="38">
        <v>1</v>
      </c>
      <c r="F160" s="38">
        <v>15</v>
      </c>
      <c r="G160" s="38">
        <v>6</v>
      </c>
      <c r="H160" s="38">
        <v>60</v>
      </c>
      <c r="I160" s="38">
        <f>(8-1-0.75*2)*60*F160-K160-8*0.12*60</f>
        <v>1674.9</v>
      </c>
      <c r="J160" s="38">
        <v>14</v>
      </c>
      <c r="K160" s="38">
        <f>(8-1-0.75*2)*0.65*60*F160</f>
        <v>3217.5</v>
      </c>
      <c r="L160" s="38">
        <v>6.47</v>
      </c>
      <c r="M160" s="38">
        <v>6.47</v>
      </c>
      <c r="N160" s="38">
        <v>10</v>
      </c>
      <c r="O160" s="38">
        <f>E160/F160</f>
        <v>6.6666666666666666E-2</v>
      </c>
      <c r="P160" s="38">
        <v>180</v>
      </c>
      <c r="Q160" s="38">
        <v>60</v>
      </c>
      <c r="R160" s="275">
        <v>30</v>
      </c>
      <c r="S160" s="275">
        <v>1.27</v>
      </c>
      <c r="T160" s="38">
        <f>ROUND((L160*I160+1.3*L160*K160+S160*H160),4)</f>
        <v>37975.195500000002</v>
      </c>
      <c r="U160" s="38">
        <f>ROUND((M160*I160+1.3*M160*K160+S160*H160),4)</f>
        <v>37975.195500000002</v>
      </c>
      <c r="V160" s="38">
        <f>ROUND((M160*I160+1.3*M160*K160+S160*H160),4)</f>
        <v>37975.195500000002</v>
      </c>
      <c r="W160" s="38">
        <f>ROUND((L160*J160+1.3*L160*N160+S160*G160),4)</f>
        <v>182.31</v>
      </c>
      <c r="X160" s="38">
        <f>ROUND((M160*J160+1.3*M160*N160+S160*G160),4)</f>
        <v>182.31</v>
      </c>
      <c r="Y160" s="38">
        <f>ROUND((M160*J160+1.3*M160*N160+S160*G160),4)</f>
        <v>182.31</v>
      </c>
      <c r="Z160" s="276">
        <f>ROUND((P160*T160*F160*O160/1000000),4)</f>
        <v>6.8354999999999997</v>
      </c>
      <c r="AA160" s="276">
        <f>ROUND((Q160*U160*F160*O160/1000000),4)</f>
        <v>2.2785000000000002</v>
      </c>
      <c r="AB160" s="276">
        <f>ROUND((R160*V160*F160*O160/1000000),4)</f>
        <v>1.1393</v>
      </c>
      <c r="AC160" s="277" t="s">
        <v>165</v>
      </c>
      <c r="AD160" s="278" t="s">
        <v>144</v>
      </c>
      <c r="AE160" s="40">
        <f>ROUND((((X160*E160)/1800)*0.8),4)</f>
        <v>8.1000000000000003E-2</v>
      </c>
      <c r="AF160" s="40">
        <f>ROUND(((Z160+AA160+AB160)*0.8),4)</f>
        <v>8.2026000000000003</v>
      </c>
      <c r="AG160" s="254"/>
      <c r="AH160" s="254"/>
    </row>
    <row r="161" spans="1:34" s="61" customFormat="1" ht="15" customHeight="1" x14ac:dyDescent="0.25">
      <c r="A161" s="290"/>
      <c r="B161" s="280" t="s">
        <v>573</v>
      </c>
      <c r="C161" s="39"/>
      <c r="D161" s="39"/>
      <c r="E161" s="39"/>
      <c r="F161" s="39"/>
      <c r="G161" s="39"/>
      <c r="H161" s="39"/>
      <c r="I161" s="39"/>
      <c r="J161" s="39"/>
      <c r="K161" s="39"/>
      <c r="L161" s="119"/>
      <c r="M161" s="119"/>
      <c r="N161" s="39"/>
      <c r="O161" s="39"/>
      <c r="P161" s="39"/>
      <c r="Q161" s="39"/>
      <c r="R161" s="39"/>
      <c r="S161" s="281"/>
      <c r="T161" s="39"/>
      <c r="U161" s="39"/>
      <c r="V161" s="39"/>
      <c r="W161" s="39"/>
      <c r="X161" s="39"/>
      <c r="Y161" s="39"/>
      <c r="Z161" s="39"/>
      <c r="AA161" s="39"/>
      <c r="AB161" s="39"/>
      <c r="AC161" s="277" t="s">
        <v>166</v>
      </c>
      <c r="AD161" s="278" t="s">
        <v>167</v>
      </c>
      <c r="AE161" s="40">
        <f>ROUND((((X160*E160)/1800)*0.13),4)</f>
        <v>1.32E-2</v>
      </c>
      <c r="AF161" s="40">
        <f>ROUND(((Z160+AA160+AB160)*0.13),4)</f>
        <v>1.3329</v>
      </c>
      <c r="AG161" s="254"/>
      <c r="AH161" s="254"/>
    </row>
    <row r="162" spans="1:34" s="61" customFormat="1" ht="15" customHeight="1" x14ac:dyDescent="0.25">
      <c r="A162" s="290"/>
      <c r="B162" s="287"/>
      <c r="C162" s="283"/>
      <c r="D162" s="283"/>
      <c r="E162" s="39"/>
      <c r="F162" s="39"/>
      <c r="G162" s="39"/>
      <c r="H162" s="39"/>
      <c r="I162" s="39"/>
      <c r="J162" s="39"/>
      <c r="K162" s="39"/>
      <c r="L162" s="40">
        <v>0.51</v>
      </c>
      <c r="M162" s="40">
        <v>0.63</v>
      </c>
      <c r="N162" s="39"/>
      <c r="O162" s="39"/>
      <c r="P162" s="39"/>
      <c r="Q162" s="39"/>
      <c r="R162" s="39"/>
      <c r="S162" s="284">
        <v>0.25</v>
      </c>
      <c r="T162" s="38">
        <f>ROUND((L162*I160+1.3*L162*K160+S162*H160),4)</f>
        <v>3002.4014999999999</v>
      </c>
      <c r="U162" s="38">
        <f>ROUND((M162*0.9*I160+1.3*M162*0.9*K160+S162*H160),4)</f>
        <v>3336.2876000000001</v>
      </c>
      <c r="V162" s="38">
        <f>ROUND((M162*I160+1.3*M162*K160+S162*H160),4)</f>
        <v>3705.3195000000001</v>
      </c>
      <c r="W162" s="38">
        <f>ROUND((L162*J160+1.3*L162*N160+S162*G160),4)</f>
        <v>15.27</v>
      </c>
      <c r="X162" s="38">
        <f>ROUND((M162*0.9*J160+1.3*M162*0.9*N160+S162*G160),4)</f>
        <v>16.809000000000001</v>
      </c>
      <c r="Y162" s="38">
        <f>ROUND((M162*J160+1.3*M162*N160+S162*G160),4)</f>
        <v>18.510000000000002</v>
      </c>
      <c r="Z162" s="276">
        <f>ROUND((P160*T162*F160*O160/1000000),4)</f>
        <v>0.54039999999999999</v>
      </c>
      <c r="AA162" s="276">
        <f>ROUND((Q160*U162*F160*O160/1000000),4)</f>
        <v>0.20019999999999999</v>
      </c>
      <c r="AB162" s="276">
        <f>ROUND((R160*V162*F160*O160/1000000),4)</f>
        <v>0.11119999999999999</v>
      </c>
      <c r="AC162" s="277" t="s">
        <v>547</v>
      </c>
      <c r="AD162" s="278" t="s">
        <v>169</v>
      </c>
      <c r="AE162" s="40">
        <f>ROUND((((X162*E160)/1800)),4)</f>
        <v>9.2999999999999992E-3</v>
      </c>
      <c r="AF162" s="40">
        <f>ROUND(((Z162+AA162+AB162)),5)</f>
        <v>0.8518</v>
      </c>
      <c r="AG162" s="254"/>
      <c r="AH162" s="254"/>
    </row>
    <row r="163" spans="1:34" s="61" customFormat="1" ht="15" customHeight="1" x14ac:dyDescent="0.25">
      <c r="A163" s="290"/>
      <c r="B163" s="280"/>
      <c r="C163" s="39"/>
      <c r="D163" s="39"/>
      <c r="E163" s="39"/>
      <c r="F163" s="39"/>
      <c r="G163" s="39"/>
      <c r="H163" s="39"/>
      <c r="I163" s="39"/>
      <c r="J163" s="39"/>
      <c r="K163" s="39"/>
      <c r="L163" s="40">
        <v>1.1399999999999999</v>
      </c>
      <c r="M163" s="40">
        <v>1.37</v>
      </c>
      <c r="N163" s="39"/>
      <c r="O163" s="39"/>
      <c r="P163" s="39"/>
      <c r="Q163" s="39"/>
      <c r="R163" s="39"/>
      <c r="S163" s="285">
        <v>0.79</v>
      </c>
      <c r="T163" s="38">
        <f>ROUND((L163*I160+1.3*L163*K160+S163*H160),4)</f>
        <v>6725.1210000000001</v>
      </c>
      <c r="U163" s="38">
        <f>ROUND((M163*0.9*I160+1.3*M163*0.9*K160+S163*H160),4)</f>
        <v>7269.8824999999997</v>
      </c>
      <c r="V163" s="38">
        <f>ROUND((M163*I160+1.3*M163*K160+S163*H160),4)</f>
        <v>8072.3805000000002</v>
      </c>
      <c r="W163" s="38">
        <f>ROUND((L163*J160+1.3*L163*N160+S163*G160),4)</f>
        <v>35.520000000000003</v>
      </c>
      <c r="X163" s="38">
        <f>ROUND((M163*0.9*J160+1.3*M163*0.9*N160+S163*G160),4)</f>
        <v>38.030999999999999</v>
      </c>
      <c r="Y163" s="38">
        <f>ROUND((M163*J160+1.3*N160+S163*G160),4)</f>
        <v>36.92</v>
      </c>
      <c r="Z163" s="276">
        <f>ROUND((P160*T163*F160*O160/1000000),4)</f>
        <v>1.2104999999999999</v>
      </c>
      <c r="AA163" s="276">
        <f>ROUND((Q160*U163*F160*O160/1000000),4)</f>
        <v>0.43619999999999998</v>
      </c>
      <c r="AB163" s="276">
        <f>ROUND((R160*V163*F160*O160/1000000),4)</f>
        <v>0.2422</v>
      </c>
      <c r="AC163" s="277" t="s">
        <v>548</v>
      </c>
      <c r="AD163" s="278" t="s">
        <v>549</v>
      </c>
      <c r="AE163" s="40">
        <f>ROUND((((X163*E160)/1800)),4)</f>
        <v>2.1100000000000001E-2</v>
      </c>
      <c r="AF163" s="40">
        <f>ROUND(((Z163+AA163+AB163)),4)</f>
        <v>1.8889</v>
      </c>
      <c r="AG163" s="254"/>
      <c r="AH163" s="254"/>
    </row>
    <row r="164" spans="1:34" s="61" customFormat="1" ht="15" customHeight="1" x14ac:dyDescent="0.25">
      <c r="A164" s="290"/>
      <c r="B164" s="280"/>
      <c r="C164" s="39"/>
      <c r="D164" s="39"/>
      <c r="E164" s="39"/>
      <c r="F164" s="39"/>
      <c r="G164" s="39"/>
      <c r="H164" s="39"/>
      <c r="I164" s="39"/>
      <c r="J164" s="39"/>
      <c r="K164" s="39"/>
      <c r="L164" s="40">
        <v>0.72</v>
      </c>
      <c r="M164" s="40">
        <v>1.08</v>
      </c>
      <c r="N164" s="39"/>
      <c r="O164" s="39"/>
      <c r="P164" s="39"/>
      <c r="Q164" s="39"/>
      <c r="R164" s="39"/>
      <c r="S164" s="285">
        <v>0.17</v>
      </c>
      <c r="T164" s="38">
        <f>ROUND((L164*I160+1.3*L164*K160+S164*H160),4)</f>
        <v>4227.7079999999996</v>
      </c>
      <c r="U164" s="38">
        <f>ROUND((M164*0.9*I160+1.3*M164*0.9*K160+S164*H160),4)</f>
        <v>5703.8357999999998</v>
      </c>
      <c r="V164" s="38">
        <f>ROUND((M164*I160+1.3*M164*K160+S164*H160),4)</f>
        <v>6336.4620000000004</v>
      </c>
      <c r="W164" s="38">
        <f>ROUND((L164*J160+1.3*L164*N160+S164*G160),4)</f>
        <v>20.46</v>
      </c>
      <c r="X164" s="38">
        <f>ROUND((M164*0.9*J160+1.3*M164*0.9*N160+S164*G160),4)</f>
        <v>27.263999999999999</v>
      </c>
      <c r="Y164" s="38">
        <f>ROUND((M164*J160+1.3*M164*N160+S164*G160),4)</f>
        <v>30.18</v>
      </c>
      <c r="Z164" s="276">
        <f>ROUND((P160*T164*F160*O160/1000000),4)</f>
        <v>0.76100000000000001</v>
      </c>
      <c r="AA164" s="276">
        <f>ROUND((Q160*U164*F160*O160/1000000),4)</f>
        <v>0.3422</v>
      </c>
      <c r="AB164" s="276">
        <f>ROUND((R160*V164*F160*O160/1000000),4)</f>
        <v>0.19009999999999999</v>
      </c>
      <c r="AC164" s="277" t="s">
        <v>172</v>
      </c>
      <c r="AD164" s="278" t="s">
        <v>173</v>
      </c>
      <c r="AE164" s="40">
        <f>ROUND((((X164*E160)/1800)),4)</f>
        <v>1.5100000000000001E-2</v>
      </c>
      <c r="AF164" s="40">
        <f>ROUND(((Z164+AA164+AB164)),4)</f>
        <v>1.2932999999999999</v>
      </c>
      <c r="AG164" s="254"/>
      <c r="AH164" s="254"/>
    </row>
    <row r="165" spans="1:34" s="61" customFormat="1" ht="15" customHeight="1" x14ac:dyDescent="0.25">
      <c r="A165" s="290"/>
      <c r="B165" s="286"/>
      <c r="C165" s="119"/>
      <c r="D165" s="119"/>
      <c r="E165" s="119"/>
      <c r="F165" s="119"/>
      <c r="G165" s="119"/>
      <c r="H165" s="119"/>
      <c r="I165" s="119"/>
      <c r="J165" s="119"/>
      <c r="K165" s="119"/>
      <c r="L165" s="40">
        <v>3.37</v>
      </c>
      <c r="M165" s="40">
        <v>4.1100000000000003</v>
      </c>
      <c r="N165" s="119"/>
      <c r="O165" s="119"/>
      <c r="P165" s="119"/>
      <c r="Q165" s="119"/>
      <c r="R165" s="119"/>
      <c r="S165" s="285">
        <v>6.31</v>
      </c>
      <c r="T165" s="38">
        <f>ROUND((L165*I160+1.3*L165*K160+S165*H160),4)</f>
        <v>20118.880499999999</v>
      </c>
      <c r="U165" s="38">
        <f>ROUND((M165*0.9*I160+1.3*M165*0.9*K160+S165*H160),4)</f>
        <v>22046.047399999999</v>
      </c>
      <c r="V165" s="38">
        <f>ROUND((M165*I160+1.3*M165*K160+S165*H160),4)</f>
        <v>24453.541499999999</v>
      </c>
      <c r="W165" s="38">
        <f>ROUND((L165*J160+1.3*L165*N160+S165*G160),4)</f>
        <v>128.85</v>
      </c>
      <c r="X165" s="38">
        <f>ROUND((M165*0.9*J160+1.3*M165*0.9*N160+S165*G160),4)</f>
        <v>137.733</v>
      </c>
      <c r="Y165" s="38">
        <f>ROUND((M165*J160+1.3*M165*N160+S165*G160),4)</f>
        <v>148.83000000000001</v>
      </c>
      <c r="Z165" s="276">
        <f>ROUND((P160*T165*F160*O160/1000000),4)</f>
        <v>3.6214</v>
      </c>
      <c r="AA165" s="276">
        <f>ROUND((Q160*U165*F160*O160/1000000),4)</f>
        <v>1.3228</v>
      </c>
      <c r="AB165" s="276">
        <f>ROUND((R160*V165*F160*O160/1000000),4)</f>
        <v>0.73360000000000003</v>
      </c>
      <c r="AC165" s="277" t="s">
        <v>157</v>
      </c>
      <c r="AD165" s="278" t="s">
        <v>153</v>
      </c>
      <c r="AE165" s="40">
        <f>ROUND((((X165*E160)/1800)),4)</f>
        <v>7.6499999999999999E-2</v>
      </c>
      <c r="AF165" s="40">
        <f>ROUND(((Z165+AA165+AB165)),4)</f>
        <v>5.6778000000000004</v>
      </c>
      <c r="AG165" s="254"/>
      <c r="AH165" s="254"/>
    </row>
    <row r="166" spans="1:34" s="61" customFormat="1" ht="15" customHeight="1" x14ac:dyDescent="0.25">
      <c r="A166" s="39"/>
      <c r="B166" s="1478" t="s">
        <v>574</v>
      </c>
      <c r="C166" s="274">
        <v>5</v>
      </c>
      <c r="D166" s="38" t="s">
        <v>552</v>
      </c>
      <c r="E166" s="38">
        <v>1</v>
      </c>
      <c r="F166" s="38">
        <v>8</v>
      </c>
      <c r="G166" s="38">
        <v>6</v>
      </c>
      <c r="H166" s="38">
        <v>60</v>
      </c>
      <c r="I166" s="38">
        <f>(8-1-0.75*2)*60*F166-K166-8*0.12*60</f>
        <v>866.4</v>
      </c>
      <c r="J166" s="38">
        <v>14</v>
      </c>
      <c r="K166" s="38">
        <f>(8-1-0.75*2)*0.65*60*F166</f>
        <v>1716</v>
      </c>
      <c r="L166" s="38">
        <v>4.01</v>
      </c>
      <c r="M166" s="38">
        <v>4.01</v>
      </c>
      <c r="N166" s="38">
        <v>10</v>
      </c>
      <c r="O166" s="38">
        <f>E166/F166</f>
        <v>0.125</v>
      </c>
      <c r="P166" s="38">
        <v>180</v>
      </c>
      <c r="Q166" s="38">
        <v>60</v>
      </c>
      <c r="R166" s="275">
        <v>30</v>
      </c>
      <c r="S166" s="275">
        <v>0.78</v>
      </c>
      <c r="T166" s="38">
        <f>ROUND((L166*I166+1.3*L166*K166+S166*H166),4)</f>
        <v>12466.572</v>
      </c>
      <c r="U166" s="38">
        <f>ROUND((M166*I166+1.3*M166*K166+S166*H166),4)</f>
        <v>12466.572</v>
      </c>
      <c r="V166" s="38">
        <f>ROUND((M166*I166+1.3*M166*K166+S166*H166),4)</f>
        <v>12466.572</v>
      </c>
      <c r="W166" s="38">
        <f>ROUND((L166*J166+1.3*L166*N166+S166*G166),4)</f>
        <v>112.95</v>
      </c>
      <c r="X166" s="38">
        <f>ROUND((M166*J166+1.3*M166*N166+S166*G166),4)</f>
        <v>112.95</v>
      </c>
      <c r="Y166" s="38">
        <f>ROUND((M166*J166+1.3*M166*N166+S166*G166),4)</f>
        <v>112.95</v>
      </c>
      <c r="Z166" s="276">
        <f>ROUND((P166*T166*F166*O166/1000000),4)</f>
        <v>2.2440000000000002</v>
      </c>
      <c r="AA166" s="276">
        <f>ROUND((Q166*U166*F166*O166/1000000),4)</f>
        <v>0.748</v>
      </c>
      <c r="AB166" s="276">
        <f>ROUND((R166*V166*F166*O166/1000000),4)</f>
        <v>0.374</v>
      </c>
      <c r="AC166" s="277" t="s">
        <v>165</v>
      </c>
      <c r="AD166" s="278" t="s">
        <v>144</v>
      </c>
      <c r="AE166" s="40">
        <f>ROUND((((X166*E166)/1800)*0.8),4)</f>
        <v>5.0200000000000002E-2</v>
      </c>
      <c r="AF166" s="40">
        <f>ROUND(((Z166+AA166+AB166)*0.8),4)</f>
        <v>2.6928000000000001</v>
      </c>
      <c r="AG166" s="254"/>
      <c r="AH166" s="254"/>
    </row>
    <row r="167" spans="1:34" s="61" customFormat="1" ht="15" customHeight="1" x14ac:dyDescent="0.25">
      <c r="A167" s="39"/>
      <c r="B167" s="1634"/>
      <c r="C167" s="280"/>
      <c r="D167" s="39"/>
      <c r="E167" s="39"/>
      <c r="F167" s="39"/>
      <c r="G167" s="39"/>
      <c r="H167" s="39"/>
      <c r="I167" s="39"/>
      <c r="J167" s="39"/>
      <c r="K167" s="39"/>
      <c r="L167" s="119"/>
      <c r="M167" s="119"/>
      <c r="N167" s="39"/>
      <c r="O167" s="39"/>
      <c r="P167" s="39"/>
      <c r="Q167" s="39"/>
      <c r="R167" s="39"/>
      <c r="S167" s="281"/>
      <c r="T167" s="39"/>
      <c r="U167" s="39"/>
      <c r="V167" s="39"/>
      <c r="W167" s="39"/>
      <c r="X167" s="39"/>
      <c r="Y167" s="39"/>
      <c r="Z167" s="39"/>
      <c r="AA167" s="39"/>
      <c r="AB167" s="39"/>
      <c r="AC167" s="277" t="s">
        <v>166</v>
      </c>
      <c r="AD167" s="278" t="s">
        <v>167</v>
      </c>
      <c r="AE167" s="40">
        <f>ROUND((((X166*E166)/1800)*0.13),4)</f>
        <v>8.2000000000000007E-3</v>
      </c>
      <c r="AF167" s="40">
        <f>ROUND(((Z166+AA166+AB166)*0.13),4)</f>
        <v>0.43759999999999999</v>
      </c>
      <c r="AG167" s="254"/>
      <c r="AH167" s="254"/>
    </row>
    <row r="168" spans="1:34" s="61" customFormat="1" ht="15" customHeight="1" x14ac:dyDescent="0.25">
      <c r="A168" s="39"/>
      <c r="B168" s="279" t="s">
        <v>575</v>
      </c>
      <c r="C168" s="282"/>
      <c r="D168" s="283"/>
      <c r="E168" s="39"/>
      <c r="F168" s="39"/>
      <c r="G168" s="39"/>
      <c r="H168" s="39"/>
      <c r="I168" s="39"/>
      <c r="J168" s="39"/>
      <c r="K168" s="39"/>
      <c r="L168" s="40">
        <v>0.31</v>
      </c>
      <c r="M168" s="40">
        <v>0.38</v>
      </c>
      <c r="N168" s="39"/>
      <c r="O168" s="39"/>
      <c r="P168" s="39"/>
      <c r="Q168" s="39"/>
      <c r="R168" s="39"/>
      <c r="S168" s="284">
        <v>0.16</v>
      </c>
      <c r="T168" s="38">
        <f>ROUND((L168*I166+1.3*L168*K166+S168*H166),4)</f>
        <v>969.73199999999997</v>
      </c>
      <c r="U168" s="38">
        <f>ROUND((M168*0.9*I166+1.3*M168*0.9*K166+S168*H166),4)</f>
        <v>1068.8424</v>
      </c>
      <c r="V168" s="38">
        <f>ROUND((M168*I166+1.3*M168*K166+S168*H166),4)</f>
        <v>1186.5360000000001</v>
      </c>
      <c r="W168" s="38">
        <f>ROUND((L168*J166+1.3*L168*N166+S168*G166),4)</f>
        <v>9.33</v>
      </c>
      <c r="X168" s="38">
        <f>ROUND((M168*0.9*J166+1.3*M168*0.9*N166+S168*G166),4)</f>
        <v>10.194000000000001</v>
      </c>
      <c r="Y168" s="38">
        <f>ROUND((M168*J166+1.3*M168*N166+S168*G166),4)</f>
        <v>11.22</v>
      </c>
      <c r="Z168" s="276">
        <f>ROUND((P166*T168*F166*O166/1000000),4)</f>
        <v>0.17460000000000001</v>
      </c>
      <c r="AA168" s="276">
        <f>ROUND((Q166*U168*F166*O166/1000000),4)</f>
        <v>6.4100000000000004E-2</v>
      </c>
      <c r="AB168" s="276">
        <f>ROUND((R166*V168*F166*O166/1000000),4)</f>
        <v>3.56E-2</v>
      </c>
      <c r="AC168" s="277" t="s">
        <v>547</v>
      </c>
      <c r="AD168" s="278" t="s">
        <v>169</v>
      </c>
      <c r="AE168" s="40">
        <f>ROUND((((X168*E166)/1800)),4)</f>
        <v>5.7000000000000002E-3</v>
      </c>
      <c r="AF168" s="40">
        <f>ROUND(((Z168+AA168+AB168)),5)</f>
        <v>0.27429999999999999</v>
      </c>
      <c r="AG168" s="254"/>
      <c r="AH168" s="254"/>
    </row>
    <row r="169" spans="1:34" s="61" customFormat="1" ht="15" customHeight="1" x14ac:dyDescent="0.25">
      <c r="A169" s="39"/>
      <c r="B169" s="280"/>
      <c r="C169" s="280"/>
      <c r="D169" s="39"/>
      <c r="E169" s="39"/>
      <c r="F169" s="39"/>
      <c r="G169" s="39"/>
      <c r="H169" s="39"/>
      <c r="I169" s="39"/>
      <c r="J169" s="39"/>
      <c r="K169" s="39"/>
      <c r="L169" s="40">
        <v>0.71</v>
      </c>
      <c r="M169" s="40">
        <v>0.85</v>
      </c>
      <c r="N169" s="39"/>
      <c r="O169" s="39"/>
      <c r="P169" s="39"/>
      <c r="Q169" s="39"/>
      <c r="R169" s="39"/>
      <c r="S169" s="285">
        <v>0.49</v>
      </c>
      <c r="T169" s="38">
        <f>ROUND((L169*I166+1.3*L169*K166+S169*H166),4)</f>
        <v>2228.4119999999998</v>
      </c>
      <c r="U169" s="38">
        <f>ROUND((M169*0.9*I166+1.3*M169*0.9*K166+S169*H166),4)</f>
        <v>2398.7579999999998</v>
      </c>
      <c r="V169" s="38">
        <f>ROUND((M169*I166+1.3*M169*K166+S169*H166),4)</f>
        <v>2662.02</v>
      </c>
      <c r="W169" s="38">
        <f>ROUND((L169*J166+1.3*L169*N166+S169*G166),4)</f>
        <v>22.11</v>
      </c>
      <c r="X169" s="38">
        <f>ROUND((M169*0.9*J166+1.3*M169*0.9*N166+S169*G166),4)</f>
        <v>23.594999999999999</v>
      </c>
      <c r="Y169" s="38">
        <f>ROUND((M169*J166+1.3*N166+S169*G166),4)</f>
        <v>27.84</v>
      </c>
      <c r="Z169" s="276">
        <f>ROUND((P166*T169*F166*O166/1000000),4)</f>
        <v>0.40110000000000001</v>
      </c>
      <c r="AA169" s="276">
        <f>ROUND((Q166*U169*F166*O166/1000000),4)</f>
        <v>0.1439</v>
      </c>
      <c r="AB169" s="276">
        <f>ROUND((R166*V169*F166*O166/1000000),4)</f>
        <v>7.9899999999999999E-2</v>
      </c>
      <c r="AC169" s="277" t="s">
        <v>548</v>
      </c>
      <c r="AD169" s="278" t="s">
        <v>549</v>
      </c>
      <c r="AE169" s="40">
        <f>ROUND((((X169*E166)/1800)),4)</f>
        <v>1.3100000000000001E-2</v>
      </c>
      <c r="AF169" s="40">
        <f>ROUND(((Z169+AA169+AB169)),4)</f>
        <v>0.62490000000000001</v>
      </c>
      <c r="AG169" s="254"/>
      <c r="AH169" s="254"/>
    </row>
    <row r="170" spans="1:34" s="61" customFormat="1" ht="15" customHeight="1" x14ac:dyDescent="0.25">
      <c r="A170" s="39"/>
      <c r="B170" s="280"/>
      <c r="C170" s="280"/>
      <c r="D170" s="39"/>
      <c r="E170" s="39"/>
      <c r="F170" s="39"/>
      <c r="G170" s="39"/>
      <c r="H170" s="39"/>
      <c r="I170" s="39"/>
      <c r="J170" s="39"/>
      <c r="K170" s="39"/>
      <c r="L170" s="40">
        <v>0.45</v>
      </c>
      <c r="M170" s="40">
        <v>0.67</v>
      </c>
      <c r="N170" s="39"/>
      <c r="O170" s="39"/>
      <c r="P170" s="39"/>
      <c r="Q170" s="39"/>
      <c r="R170" s="39"/>
      <c r="S170" s="285">
        <v>0.1</v>
      </c>
      <c r="T170" s="38">
        <f>ROUND((L170*I166+1.3*L170*K166+S170*H166),4)</f>
        <v>1399.74</v>
      </c>
      <c r="U170" s="38">
        <f>ROUND((M170*0.9*I166+1.3*M170*0.9*K166+S170*H166),4)</f>
        <v>1873.6116</v>
      </c>
      <c r="V170" s="38">
        <f>ROUND((M170*I166+1.3*M170*K166+S170*H166),4)</f>
        <v>2081.1239999999998</v>
      </c>
      <c r="W170" s="38">
        <f>ROUND((L170*J166+1.3*L170*N166+S170*G166),4)</f>
        <v>12.75</v>
      </c>
      <c r="X170" s="38">
        <f>ROUND((M170*0.9*J166+1.3*M170*0.9*N166+S170*G166),4)</f>
        <v>16.881</v>
      </c>
      <c r="Y170" s="38">
        <f>ROUND((M170*J166+1.3*M170*N166+S170*G166),4)</f>
        <v>18.690000000000001</v>
      </c>
      <c r="Z170" s="276">
        <f>ROUND((P166*T170*F166*O166/1000000),4)</f>
        <v>0.252</v>
      </c>
      <c r="AA170" s="276">
        <f>ROUND((Q166*U170*F166*O166/1000000),4)</f>
        <v>0.1124</v>
      </c>
      <c r="AB170" s="276">
        <f>ROUND((R166*V170*F166*O166/1000000),4)</f>
        <v>6.2399999999999997E-2</v>
      </c>
      <c r="AC170" s="277" t="s">
        <v>172</v>
      </c>
      <c r="AD170" s="278" t="s">
        <v>173</v>
      </c>
      <c r="AE170" s="40">
        <f>ROUND((((X170*E166)/1800)),4)</f>
        <v>9.4000000000000004E-3</v>
      </c>
      <c r="AF170" s="40">
        <f>ROUND(((Z170+AA170+AB170)),4)</f>
        <v>0.42680000000000001</v>
      </c>
      <c r="AG170" s="254"/>
      <c r="AH170" s="254"/>
    </row>
    <row r="171" spans="1:34" s="61" customFormat="1" ht="15" customHeight="1" x14ac:dyDescent="0.25">
      <c r="A171" s="39"/>
      <c r="B171" s="286"/>
      <c r="C171" s="286"/>
      <c r="D171" s="119"/>
      <c r="E171" s="119"/>
      <c r="F171" s="119"/>
      <c r="G171" s="119"/>
      <c r="H171" s="119"/>
      <c r="I171" s="119"/>
      <c r="J171" s="119"/>
      <c r="K171" s="119"/>
      <c r="L171" s="40">
        <v>2.09</v>
      </c>
      <c r="M171" s="40">
        <v>2.5499999999999998</v>
      </c>
      <c r="N171" s="119"/>
      <c r="O171" s="119"/>
      <c r="P171" s="119"/>
      <c r="Q171" s="119"/>
      <c r="R171" s="119"/>
      <c r="S171" s="285">
        <v>3.91</v>
      </c>
      <c r="T171" s="38">
        <f>ROUND((L171*I166+1.3*L171*K166+S171*H166),4)</f>
        <v>6707.7479999999996</v>
      </c>
      <c r="U171" s="38">
        <f>ROUND((M171*0.9*I166+1.3*M171*0.9*K166+S171*H166),4)</f>
        <v>7342.674</v>
      </c>
      <c r="V171" s="38">
        <f>ROUND((M171*I166+1.3*M171*K166+S171*H166),4)</f>
        <v>8132.46</v>
      </c>
      <c r="W171" s="38">
        <f>ROUND((L171*J166+1.3*L171*N166+S171*G166),4)</f>
        <v>79.89</v>
      </c>
      <c r="X171" s="38">
        <f>ROUND((M171*0.9*J166+1.3*M171*0.9*N166+S171*G166),4)</f>
        <v>85.424999999999997</v>
      </c>
      <c r="Y171" s="38">
        <f>ROUND((M171*J166+1.3*M171*N166+S171*G166),4)</f>
        <v>92.31</v>
      </c>
      <c r="Z171" s="276">
        <f>ROUND((P166*T171*F166*O166/1000000),4)</f>
        <v>1.2074</v>
      </c>
      <c r="AA171" s="276">
        <f>ROUND((Q166*U171*F166*O166/1000000),4)</f>
        <v>0.44059999999999999</v>
      </c>
      <c r="AB171" s="276">
        <f>ROUND((R166*V171*F166*O166/1000000),4)</f>
        <v>0.24399999999999999</v>
      </c>
      <c r="AC171" s="277" t="s">
        <v>157</v>
      </c>
      <c r="AD171" s="278" t="s">
        <v>153</v>
      </c>
      <c r="AE171" s="40">
        <f>ROUND((((X171*E166)/1800)),4)</f>
        <v>4.7500000000000001E-2</v>
      </c>
      <c r="AF171" s="40">
        <f>ROUND(((Z171+AA171+AB171)),4)</f>
        <v>1.8919999999999999</v>
      </c>
      <c r="AG171" s="254"/>
      <c r="AH171" s="254"/>
    </row>
    <row r="172" spans="1:34" s="61" customFormat="1" ht="15" customHeight="1" x14ac:dyDescent="0.25">
      <c r="A172" s="290"/>
      <c r="B172" s="274" t="s">
        <v>576</v>
      </c>
      <c r="C172" s="274">
        <v>6</v>
      </c>
      <c r="D172" s="38" t="s">
        <v>556</v>
      </c>
      <c r="E172" s="38">
        <v>1</v>
      </c>
      <c r="F172" s="38">
        <v>9</v>
      </c>
      <c r="G172" s="38">
        <v>6</v>
      </c>
      <c r="H172" s="38">
        <v>60</v>
      </c>
      <c r="I172" s="38">
        <f>(8-1-0.75*2)*60*F172-K172-8*0.12*60</f>
        <v>981.9</v>
      </c>
      <c r="J172" s="38">
        <v>14</v>
      </c>
      <c r="K172" s="38">
        <f>(8-1-0.75*2)*0.65*60*F172</f>
        <v>1930.5</v>
      </c>
      <c r="L172" s="38">
        <v>6.47</v>
      </c>
      <c r="M172" s="38">
        <v>6.47</v>
      </c>
      <c r="N172" s="38">
        <v>10</v>
      </c>
      <c r="O172" s="38">
        <f>E172/F172</f>
        <v>0.1111111111111111</v>
      </c>
      <c r="P172" s="38">
        <v>180</v>
      </c>
      <c r="Q172" s="38">
        <v>60</v>
      </c>
      <c r="R172" s="275">
        <v>30</v>
      </c>
      <c r="S172" s="275">
        <v>1.27</v>
      </c>
      <c r="T172" s="38">
        <f>ROUND((L172*I172+1.3*L172*K172+S172*H172),4)</f>
        <v>22666.5285</v>
      </c>
      <c r="U172" s="38">
        <f>ROUND((M172*I172+1.3*M172*K172+S172*H172),4)</f>
        <v>22666.5285</v>
      </c>
      <c r="V172" s="38">
        <f>ROUND((M172*I172+1.3*M172*K172+S172*H172),4)</f>
        <v>22666.5285</v>
      </c>
      <c r="W172" s="38">
        <f>ROUND((L172*J172+1.3*L172*N172+S172*G172),4)</f>
        <v>182.31</v>
      </c>
      <c r="X172" s="38">
        <f>ROUND((M172*J172+1.3*M172*N172+S172*G172),4)</f>
        <v>182.31</v>
      </c>
      <c r="Y172" s="38">
        <f>ROUND((M172*J172+1.3*M172*N172+S172*G172),4)</f>
        <v>182.31</v>
      </c>
      <c r="Z172" s="276">
        <f>ROUND((P172*T172*F172*O172/1000000),4)</f>
        <v>4.08</v>
      </c>
      <c r="AA172" s="276">
        <f>ROUND((Q172*U172*F172*O172/1000000),4)</f>
        <v>1.36</v>
      </c>
      <c r="AB172" s="276">
        <f>ROUND((R172*V172*F172*O172/1000000),4)</f>
        <v>0.68</v>
      </c>
      <c r="AC172" s="277" t="s">
        <v>165</v>
      </c>
      <c r="AD172" s="278" t="s">
        <v>144</v>
      </c>
      <c r="AE172" s="40">
        <f>ROUND((((X172*E172)/1800)*0.8),4)</f>
        <v>8.1000000000000003E-2</v>
      </c>
      <c r="AF172" s="40">
        <f>ROUND(((Z172+AA172+AB172)*0.8),4)</f>
        <v>4.8959999999999999</v>
      </c>
      <c r="AG172" s="254"/>
      <c r="AH172" s="254"/>
    </row>
    <row r="173" spans="1:34" s="61" customFormat="1" ht="15" customHeight="1" x14ac:dyDescent="0.25">
      <c r="A173" s="290"/>
      <c r="B173" s="1634" t="s">
        <v>577</v>
      </c>
      <c r="C173" s="39"/>
      <c r="D173" s="39"/>
      <c r="E173" s="39"/>
      <c r="F173" s="39"/>
      <c r="G173" s="39"/>
      <c r="H173" s="39"/>
      <c r="I173" s="39"/>
      <c r="J173" s="39"/>
      <c r="K173" s="39"/>
      <c r="L173" s="119"/>
      <c r="M173" s="119"/>
      <c r="N173" s="39"/>
      <c r="O173" s="39"/>
      <c r="P173" s="39"/>
      <c r="Q173" s="39"/>
      <c r="R173" s="39"/>
      <c r="S173" s="281"/>
      <c r="T173" s="39"/>
      <c r="U173" s="39"/>
      <c r="V173" s="39"/>
      <c r="W173" s="39"/>
      <c r="X173" s="39"/>
      <c r="Y173" s="39"/>
      <c r="Z173" s="39"/>
      <c r="AA173" s="39"/>
      <c r="AB173" s="39"/>
      <c r="AC173" s="277" t="s">
        <v>166</v>
      </c>
      <c r="AD173" s="278" t="s">
        <v>167</v>
      </c>
      <c r="AE173" s="40">
        <f>ROUND((((X172*E172)/1800)*0.13),4)</f>
        <v>1.32E-2</v>
      </c>
      <c r="AF173" s="40">
        <f>ROUND(((Z172+AA172+AB172)*0.13),4)</f>
        <v>0.79559999999999997</v>
      </c>
      <c r="AG173" s="254"/>
      <c r="AH173" s="254"/>
    </row>
    <row r="174" spans="1:34" s="61" customFormat="1" ht="15" customHeight="1" x14ac:dyDescent="0.25">
      <c r="A174" s="290"/>
      <c r="B174" s="1634"/>
      <c r="C174" s="283"/>
      <c r="D174" s="283"/>
      <c r="E174" s="39"/>
      <c r="F174" s="39"/>
      <c r="G174" s="39"/>
      <c r="H174" s="39"/>
      <c r="I174" s="39"/>
      <c r="J174" s="39"/>
      <c r="K174" s="39"/>
      <c r="L174" s="40">
        <v>0.51</v>
      </c>
      <c r="M174" s="40">
        <v>0.63</v>
      </c>
      <c r="N174" s="39"/>
      <c r="O174" s="39"/>
      <c r="P174" s="39"/>
      <c r="Q174" s="39"/>
      <c r="R174" s="39"/>
      <c r="S174" s="284">
        <v>0.25</v>
      </c>
      <c r="T174" s="38">
        <f>ROUND((L174*I172+1.3*L174*K172+S174*H172),4)</f>
        <v>1795.6904999999999</v>
      </c>
      <c r="U174" s="38">
        <f>ROUND((M174*0.9*I172+1.3*M174*0.9*K172+S174*H172),4)</f>
        <v>1994.7089000000001</v>
      </c>
      <c r="V174" s="38">
        <f>ROUND((M174*I172+1.3*M174*K172+S174*H172),4)</f>
        <v>2214.6765</v>
      </c>
      <c r="W174" s="38">
        <f>ROUND((L174*J172+1.3*L174*N172+S174*G172),4)</f>
        <v>15.27</v>
      </c>
      <c r="X174" s="38">
        <f>ROUND((M174*0.9*J172+1.3*M174*0.9*N172+S174*G172),4)</f>
        <v>16.809000000000001</v>
      </c>
      <c r="Y174" s="38">
        <f>ROUND((M174*J172+1.3*M174*N172+S174*G172),4)</f>
        <v>18.510000000000002</v>
      </c>
      <c r="Z174" s="276">
        <f>ROUND((P172*T174*F172*O172/1000000),4)</f>
        <v>0.32319999999999999</v>
      </c>
      <c r="AA174" s="276">
        <f>ROUND((Q172*U174*F172*O172/1000000),4)</f>
        <v>0.1197</v>
      </c>
      <c r="AB174" s="276">
        <f>ROUND((R172*V174*F172*O172/1000000),4)</f>
        <v>6.6400000000000001E-2</v>
      </c>
      <c r="AC174" s="277" t="s">
        <v>547</v>
      </c>
      <c r="AD174" s="278" t="s">
        <v>169</v>
      </c>
      <c r="AE174" s="40">
        <f>ROUND((((X174*E172)/1800)),4)</f>
        <v>9.2999999999999992E-3</v>
      </c>
      <c r="AF174" s="40">
        <f>ROUND(((Z174+AA174+AB174)),5)</f>
        <v>0.50929999999999997</v>
      </c>
      <c r="AG174" s="254"/>
      <c r="AH174" s="254"/>
    </row>
    <row r="175" spans="1:34" s="61" customFormat="1" ht="15" customHeight="1" x14ac:dyDescent="0.25">
      <c r="A175" s="290"/>
      <c r="B175" s="280"/>
      <c r="C175" s="39"/>
      <c r="D175" s="39"/>
      <c r="E175" s="39"/>
      <c r="F175" s="39"/>
      <c r="G175" s="39"/>
      <c r="H175" s="39"/>
      <c r="I175" s="39"/>
      <c r="J175" s="39"/>
      <c r="K175" s="39"/>
      <c r="L175" s="40">
        <v>1.1399999999999999</v>
      </c>
      <c r="M175" s="40">
        <v>1.37</v>
      </c>
      <c r="N175" s="39"/>
      <c r="O175" s="39"/>
      <c r="P175" s="39"/>
      <c r="Q175" s="39"/>
      <c r="R175" s="39"/>
      <c r="S175" s="285">
        <v>0.79</v>
      </c>
      <c r="T175" s="38">
        <f>ROUND((L175*I172+1.3*L175*K172+S175*H172),4)</f>
        <v>4027.7669999999998</v>
      </c>
      <c r="U175" s="38">
        <f>ROUND((M175*0.9*I172+1.3*M175*0.9*K172+S175*H172),4)</f>
        <v>4352.4812000000002</v>
      </c>
      <c r="V175" s="38">
        <f>ROUND((M175*I172+1.3*M175*K172+S175*H172),4)</f>
        <v>4830.8235000000004</v>
      </c>
      <c r="W175" s="38">
        <f>ROUND((L175*J172+1.3*L175*N172+S175*G172),4)</f>
        <v>35.520000000000003</v>
      </c>
      <c r="X175" s="38">
        <f>ROUND((M175*0.9*J172+1.3*M175*0.9*N172+S175*G172),4)</f>
        <v>38.030999999999999</v>
      </c>
      <c r="Y175" s="38">
        <f>ROUND((M175*J172+1.3*N172+S175*G172),4)</f>
        <v>36.92</v>
      </c>
      <c r="Z175" s="276">
        <f>ROUND((P172*T175*F172*O172/1000000),4)</f>
        <v>0.72499999999999998</v>
      </c>
      <c r="AA175" s="276">
        <f>ROUND((Q172*U175*F172*O172/1000000),4)</f>
        <v>0.2611</v>
      </c>
      <c r="AB175" s="276">
        <f>ROUND((R172*V175*F172*O172/1000000),4)</f>
        <v>0.1449</v>
      </c>
      <c r="AC175" s="277" t="s">
        <v>548</v>
      </c>
      <c r="AD175" s="278" t="s">
        <v>549</v>
      </c>
      <c r="AE175" s="40">
        <f>ROUND((((X175*E172)/1800)),4)</f>
        <v>2.1100000000000001E-2</v>
      </c>
      <c r="AF175" s="40">
        <f>ROUND(((Z175+AA175+AB175)),4)</f>
        <v>1.131</v>
      </c>
      <c r="AG175" s="254"/>
      <c r="AH175" s="254"/>
    </row>
    <row r="176" spans="1:34" s="61" customFormat="1" ht="15" customHeight="1" x14ac:dyDescent="0.25">
      <c r="A176" s="290"/>
      <c r="B176" s="280"/>
      <c r="C176" s="39"/>
      <c r="D176" s="39"/>
      <c r="E176" s="39"/>
      <c r="F176" s="39"/>
      <c r="G176" s="39"/>
      <c r="H176" s="39"/>
      <c r="I176" s="39"/>
      <c r="J176" s="39"/>
      <c r="K176" s="39"/>
      <c r="L176" s="40">
        <v>0.72</v>
      </c>
      <c r="M176" s="40">
        <v>1.08</v>
      </c>
      <c r="N176" s="39"/>
      <c r="O176" s="39"/>
      <c r="P176" s="39"/>
      <c r="Q176" s="39"/>
      <c r="R176" s="39"/>
      <c r="S176" s="285">
        <v>0.17</v>
      </c>
      <c r="T176" s="38">
        <f>ROUND((L176*I172+1.3*L176*K172+S176*H172),4)</f>
        <v>2524.116</v>
      </c>
      <c r="U176" s="38">
        <f>ROUND((M176*0.9*I172+1.3*M176*0.9*K172+S176*H172),4)</f>
        <v>3403.9866000000002</v>
      </c>
      <c r="V176" s="38">
        <f>ROUND((M176*I172+1.3*M176*K172+S176*H172),4)</f>
        <v>3781.0740000000001</v>
      </c>
      <c r="W176" s="38">
        <f>ROUND((L176*J172+1.3*L176*N172+S176*G172),4)</f>
        <v>20.46</v>
      </c>
      <c r="X176" s="38">
        <f>ROUND((M176*0.9*J172+1.3*M176*0.9*N172+S176*G172),4)</f>
        <v>27.263999999999999</v>
      </c>
      <c r="Y176" s="38">
        <f>ROUND((M176*J172+1.3*M176*N172+S176*G172),4)</f>
        <v>30.18</v>
      </c>
      <c r="Z176" s="276">
        <f>ROUND((P172*T176*F172*O172/1000000),4)</f>
        <v>0.45429999999999998</v>
      </c>
      <c r="AA176" s="276">
        <f>ROUND((Q172*U176*F172*O172/1000000),4)</f>
        <v>0.20419999999999999</v>
      </c>
      <c r="AB176" s="276">
        <f>ROUND((R172*V176*F172*O172/1000000),4)</f>
        <v>0.1134</v>
      </c>
      <c r="AC176" s="277" t="s">
        <v>172</v>
      </c>
      <c r="AD176" s="278" t="s">
        <v>173</v>
      </c>
      <c r="AE176" s="40">
        <f>ROUND((((X176*E172)/1800)),4)</f>
        <v>1.5100000000000001E-2</v>
      </c>
      <c r="AF176" s="40">
        <f>ROUND(((Z176+AA176+AB176)),4)</f>
        <v>0.77190000000000003</v>
      </c>
      <c r="AG176" s="254"/>
      <c r="AH176" s="254"/>
    </row>
    <row r="177" spans="1:35" s="61" customFormat="1" ht="15" customHeight="1" x14ac:dyDescent="0.25">
      <c r="A177" s="290"/>
      <c r="B177" s="286"/>
      <c r="C177" s="119"/>
      <c r="D177" s="119"/>
      <c r="E177" s="119"/>
      <c r="F177" s="119"/>
      <c r="G177" s="119"/>
      <c r="H177" s="119"/>
      <c r="I177" s="119"/>
      <c r="J177" s="119"/>
      <c r="K177" s="119"/>
      <c r="L177" s="40">
        <v>3.37</v>
      </c>
      <c r="M177" s="40">
        <v>4.1100000000000003</v>
      </c>
      <c r="N177" s="119"/>
      <c r="O177" s="119"/>
      <c r="P177" s="119"/>
      <c r="Q177" s="119"/>
      <c r="R177" s="119"/>
      <c r="S177" s="285">
        <v>6.31</v>
      </c>
      <c r="T177" s="38">
        <f>ROUND((L177*I172+1.3*L177*K172+S177*H172),4)</f>
        <v>12145.1235</v>
      </c>
      <c r="U177" s="38">
        <f>ROUND((M177*0.9*I172+1.3*M177*0.9*K172+S177*H172),4)</f>
        <v>13293.843500000001</v>
      </c>
      <c r="V177" s="38">
        <f>ROUND((M177*I172+1.3*M177*K172+S177*H172),4)</f>
        <v>14728.870500000001</v>
      </c>
      <c r="W177" s="38">
        <f>ROUND((L177*J172+1.3*L177*N172+S177*G172),4)</f>
        <v>128.85</v>
      </c>
      <c r="X177" s="38">
        <f>ROUND((M177*0.9*J172+1.3*M177*0.9*N172+S177*G172),4)</f>
        <v>137.733</v>
      </c>
      <c r="Y177" s="38">
        <f>ROUND((M177*J172+1.3*M177*N172+S177*G172),4)</f>
        <v>148.83000000000001</v>
      </c>
      <c r="Z177" s="276">
        <f>ROUND((P172*T177*F172*O172/1000000),4)</f>
        <v>2.1861000000000002</v>
      </c>
      <c r="AA177" s="276">
        <f>ROUND((Q172*U177*F172*O172/1000000),4)</f>
        <v>0.79759999999999998</v>
      </c>
      <c r="AB177" s="276">
        <f>ROUND((R172*V177*F172*O172/1000000),4)</f>
        <v>0.44190000000000002</v>
      </c>
      <c r="AC177" s="277" t="s">
        <v>157</v>
      </c>
      <c r="AD177" s="278" t="s">
        <v>153</v>
      </c>
      <c r="AE177" s="40">
        <f>ROUND((((X177*E172)/1800)),4)</f>
        <v>7.6499999999999999E-2</v>
      </c>
      <c r="AF177" s="40">
        <f>ROUND(((Z177+AA177+AB177)),4)</f>
        <v>3.4256000000000002</v>
      </c>
      <c r="AG177" s="254"/>
      <c r="AH177" s="254"/>
    </row>
    <row r="178" spans="1:35" s="61" customFormat="1" ht="15" customHeight="1" x14ac:dyDescent="0.25">
      <c r="A178" s="39"/>
      <c r="B178" s="287" t="s">
        <v>578</v>
      </c>
      <c r="C178" s="38">
        <v>3</v>
      </c>
      <c r="D178" s="38" t="s">
        <v>579</v>
      </c>
      <c r="E178" s="38">
        <v>1</v>
      </c>
      <c r="F178" s="38">
        <v>9</v>
      </c>
      <c r="G178" s="38">
        <v>6</v>
      </c>
      <c r="H178" s="38">
        <v>60</v>
      </c>
      <c r="I178" s="38">
        <f>(8-1-0.75*2)*60*F178-K178-8*0.12*60</f>
        <v>981.9</v>
      </c>
      <c r="J178" s="38">
        <v>14</v>
      </c>
      <c r="K178" s="38">
        <f>(8-1-0.75*2)*0.65*60*F178</f>
        <v>1930.5</v>
      </c>
      <c r="L178" s="38">
        <v>1.49</v>
      </c>
      <c r="M178" s="38">
        <v>1.49</v>
      </c>
      <c r="N178" s="38">
        <v>10</v>
      </c>
      <c r="O178" s="38">
        <f>E178/F178</f>
        <v>0.1111111111111111</v>
      </c>
      <c r="P178" s="38">
        <v>180</v>
      </c>
      <c r="Q178" s="38">
        <v>60</v>
      </c>
      <c r="R178" s="275">
        <v>30</v>
      </c>
      <c r="S178" s="275">
        <v>0.28999999999999998</v>
      </c>
      <c r="T178" s="38">
        <f>ROUND((L178*I178+1.3*L178*K178+S178*H178),4)</f>
        <v>5219.8095000000003</v>
      </c>
      <c r="U178" s="38">
        <f>ROUND((M178*I178+1.3*M178*K178+S178*H178),4)</f>
        <v>5219.8095000000003</v>
      </c>
      <c r="V178" s="38">
        <f>ROUND((M178*I178+1.3*M178*K178+S178*H178),4)</f>
        <v>5219.8095000000003</v>
      </c>
      <c r="W178" s="38">
        <f>ROUND((L178*J178+1.3*L178*N178+S178*G178),4)</f>
        <v>41.97</v>
      </c>
      <c r="X178" s="38">
        <f>ROUND((M178*J178+1.3*M178*N178+S178*G178),4)</f>
        <v>41.97</v>
      </c>
      <c r="Y178" s="38">
        <f>ROUND((M178*J178+1.3*M178*N178+S178*G178),4)</f>
        <v>41.97</v>
      </c>
      <c r="Z178" s="276">
        <f>ROUND((P178*T178*F178*O178/1000000),4)</f>
        <v>0.93959999999999999</v>
      </c>
      <c r="AA178" s="276">
        <f>ROUND((Q178*U178*F178*O178/1000000),4)</f>
        <v>0.31319999999999998</v>
      </c>
      <c r="AB178" s="276">
        <f>ROUND((R178*V178*F178*O178/1000000),4)</f>
        <v>0.15659999999999999</v>
      </c>
      <c r="AC178" s="277" t="s">
        <v>165</v>
      </c>
      <c r="AD178" s="278" t="s">
        <v>144</v>
      </c>
      <c r="AE178" s="40">
        <f>ROUND((((X178*E178)/1800)*0.8),4)</f>
        <v>1.8700000000000001E-2</v>
      </c>
      <c r="AF178" s="40">
        <f>ROUND(((Z178+AA178+AB178)*0.8),4)</f>
        <v>1.1274999999999999</v>
      </c>
      <c r="AG178" s="254"/>
      <c r="AH178" s="254"/>
    </row>
    <row r="179" spans="1:35" s="61" customFormat="1" ht="15" customHeight="1" x14ac:dyDescent="0.25">
      <c r="A179" s="39"/>
      <c r="B179" s="1634" t="s">
        <v>580</v>
      </c>
      <c r="C179" s="39"/>
      <c r="D179" s="39"/>
      <c r="E179" s="39"/>
      <c r="F179" s="39"/>
      <c r="G179" s="39"/>
      <c r="H179" s="39"/>
      <c r="I179" s="39"/>
      <c r="J179" s="39"/>
      <c r="K179" s="39"/>
      <c r="L179" s="119"/>
      <c r="M179" s="119"/>
      <c r="N179" s="39"/>
      <c r="O179" s="39"/>
      <c r="P179" s="39"/>
      <c r="Q179" s="39"/>
      <c r="R179" s="39"/>
      <c r="S179" s="281"/>
      <c r="T179" s="39"/>
      <c r="U179" s="39"/>
      <c r="V179" s="39"/>
      <c r="W179" s="39"/>
      <c r="X179" s="39"/>
      <c r="Y179" s="39"/>
      <c r="Z179" s="39"/>
      <c r="AA179" s="39"/>
      <c r="AB179" s="39"/>
      <c r="AC179" s="277" t="s">
        <v>166</v>
      </c>
      <c r="AD179" s="278" t="s">
        <v>167</v>
      </c>
      <c r="AE179" s="40">
        <f>ROUND((((X178*E178)/1800)*0.13),4)</f>
        <v>3.0000000000000001E-3</v>
      </c>
      <c r="AF179" s="40">
        <f>ROUND(((Z178+AA178+AB178)*0.13),4)</f>
        <v>0.1832</v>
      </c>
      <c r="AG179" s="254"/>
      <c r="AH179" s="254"/>
    </row>
    <row r="180" spans="1:35" s="61" customFormat="1" ht="15" customHeight="1" x14ac:dyDescent="0.25">
      <c r="A180" s="39"/>
      <c r="B180" s="1634"/>
      <c r="C180" s="283"/>
      <c r="D180" s="283"/>
      <c r="E180" s="39"/>
      <c r="F180" s="39"/>
      <c r="G180" s="39"/>
      <c r="H180" s="39"/>
      <c r="I180" s="39"/>
      <c r="J180" s="39"/>
      <c r="K180" s="39"/>
      <c r="L180" s="40">
        <v>0.12</v>
      </c>
      <c r="M180" s="40">
        <v>0.15</v>
      </c>
      <c r="N180" s="39"/>
      <c r="O180" s="39"/>
      <c r="P180" s="39"/>
      <c r="Q180" s="39"/>
      <c r="R180" s="39"/>
      <c r="S180" s="284">
        <v>5.8000000000000003E-2</v>
      </c>
      <c r="T180" s="38">
        <f>ROUND((L180*I178+1.3*L180*K178+S180*H178),4)</f>
        <v>422.46600000000001</v>
      </c>
      <c r="U180" s="38">
        <f>ROUND((M180*0.9*I178+1.3*M180*0.9*K178+S180*H178),4)</f>
        <v>474.83929999999998</v>
      </c>
      <c r="V180" s="38">
        <f>ROUND((M180*I178+1.3*M180*K178+S180*H178),4)</f>
        <v>527.21249999999998</v>
      </c>
      <c r="W180" s="38">
        <f>ROUND((L180*J178+1.3*L180*N178+S180*G178),4)</f>
        <v>3.5880000000000001</v>
      </c>
      <c r="X180" s="38">
        <f>ROUND((M180*0.9*J178+1.3*M180*0.9*N178+S180*G178),4)</f>
        <v>3.9929999999999999</v>
      </c>
      <c r="Y180" s="38">
        <f>ROUND((M180*J178+1.3*M180*N178+S180*G178),4)</f>
        <v>4.3979999999999997</v>
      </c>
      <c r="Z180" s="276">
        <f>ROUND((P178*T180*F178*O178/1000000),4)</f>
        <v>7.5999999999999998E-2</v>
      </c>
      <c r="AA180" s="276">
        <f>ROUND((Q178*U180*F178*O178/1000000),4)</f>
        <v>2.8500000000000001E-2</v>
      </c>
      <c r="AB180" s="276">
        <f>ROUND((R178*V180*F178*O178/1000000),4)</f>
        <v>1.5800000000000002E-2</v>
      </c>
      <c r="AC180" s="277" t="s">
        <v>547</v>
      </c>
      <c r="AD180" s="278" t="s">
        <v>169</v>
      </c>
      <c r="AE180" s="40">
        <f>ROUND((((X180*E178)/1800)),4)</f>
        <v>2.2000000000000001E-3</v>
      </c>
      <c r="AF180" s="40">
        <f>ROUND(((Z180+AA180+AB180)),5)</f>
        <v>0.1203</v>
      </c>
      <c r="AG180" s="254"/>
      <c r="AH180" s="254"/>
    </row>
    <row r="181" spans="1:35" s="61" customFormat="1" ht="15" customHeight="1" x14ac:dyDescent="0.25">
      <c r="A181" s="39"/>
      <c r="B181" s="288"/>
      <c r="C181" s="39"/>
      <c r="D181" s="39"/>
      <c r="E181" s="39"/>
      <c r="F181" s="39"/>
      <c r="G181" s="39"/>
      <c r="H181" s="39"/>
      <c r="I181" s="39"/>
      <c r="J181" s="39"/>
      <c r="K181" s="39"/>
      <c r="L181" s="40">
        <v>0.26</v>
      </c>
      <c r="M181" s="40">
        <v>0.31</v>
      </c>
      <c r="N181" s="39"/>
      <c r="O181" s="39"/>
      <c r="P181" s="39"/>
      <c r="Q181" s="39"/>
      <c r="R181" s="39"/>
      <c r="S181" s="285">
        <v>0.18</v>
      </c>
      <c r="T181" s="38">
        <f>ROUND((L181*I178+1.3*L181*K178+S181*H178),4)</f>
        <v>918.60299999999995</v>
      </c>
      <c r="U181" s="38">
        <f>ROUND((M181*0.9*I178+1.3*M181*0.9*K178+S181*H178),4)</f>
        <v>984.9425</v>
      </c>
      <c r="V181" s="38">
        <f>ROUND((M181*I178+1.3*M181*K178+S181*H178),4)</f>
        <v>1093.1804999999999</v>
      </c>
      <c r="W181" s="38">
        <f>ROUND((L181*J178+1.3*L181*N178+S181*G178),4)</f>
        <v>8.1</v>
      </c>
      <c r="X181" s="38">
        <f>ROUND((M181*0.9*J178+1.3*M181*0.9*N178+S181*G178),4)</f>
        <v>8.6129999999999995</v>
      </c>
      <c r="Y181" s="38">
        <f>ROUND((M181*J178+1.3*N178+S181*G178),4)</f>
        <v>18.420000000000002</v>
      </c>
      <c r="Z181" s="276">
        <f>ROUND((P178*T181*F178*O178/1000000),4)</f>
        <v>0.1653</v>
      </c>
      <c r="AA181" s="276">
        <f>ROUND((Q178*U181*F178*O178/1000000),4)</f>
        <v>5.91E-2</v>
      </c>
      <c r="AB181" s="276">
        <f>ROUND((R178*V181*F178*O178/1000000),4)</f>
        <v>3.2800000000000003E-2</v>
      </c>
      <c r="AC181" s="277" t="s">
        <v>548</v>
      </c>
      <c r="AD181" s="278" t="s">
        <v>549</v>
      </c>
      <c r="AE181" s="40">
        <f>ROUND((((X181*E178)/1800)),4)</f>
        <v>4.7999999999999996E-3</v>
      </c>
      <c r="AF181" s="40">
        <f>ROUND(((Z181+AA181+AB181)),4)</f>
        <v>0.25719999999999998</v>
      </c>
      <c r="AG181" s="254"/>
      <c r="AH181" s="254"/>
    </row>
    <row r="182" spans="1:35" s="61" customFormat="1" ht="15" customHeight="1" x14ac:dyDescent="0.25">
      <c r="A182" s="39"/>
      <c r="B182" s="280"/>
      <c r="C182" s="39"/>
      <c r="D182" s="39"/>
      <c r="E182" s="39"/>
      <c r="F182" s="39"/>
      <c r="G182" s="39"/>
      <c r="H182" s="39"/>
      <c r="I182" s="39"/>
      <c r="J182" s="39"/>
      <c r="K182" s="39"/>
      <c r="L182" s="40">
        <v>0.17</v>
      </c>
      <c r="M182" s="40">
        <v>0.25</v>
      </c>
      <c r="N182" s="39"/>
      <c r="O182" s="39"/>
      <c r="P182" s="39"/>
      <c r="Q182" s="39"/>
      <c r="R182" s="39"/>
      <c r="S182" s="285">
        <v>0.04</v>
      </c>
      <c r="T182" s="38">
        <f>ROUND((L182*I178+1.3*L182*K178+S182*H178),4)</f>
        <v>595.96349999999995</v>
      </c>
      <c r="U182" s="38">
        <f>ROUND((M182*0.9*I178+1.3*M182*0.9*K178+S182*H178),4)</f>
        <v>787.99879999999996</v>
      </c>
      <c r="V182" s="38">
        <f>ROUND((M182*I178+1.3*M182*K178+S182*H178),4)</f>
        <v>875.28750000000002</v>
      </c>
      <c r="W182" s="38">
        <f>ROUND((L182*J178+1.3*L182*N178+S182*G178),4)</f>
        <v>4.83</v>
      </c>
      <c r="X182" s="38">
        <f>ROUND((M182*0.9*J178+1.3*M182*0.9*N178+S182*G178),4)</f>
        <v>6.3150000000000004</v>
      </c>
      <c r="Y182" s="38">
        <f>ROUND((M182*J178+1.3*M182*N178+S182*G178),4)</f>
        <v>6.99</v>
      </c>
      <c r="Z182" s="276">
        <f>ROUND((P178*T182*F178*O178/1000000),4)</f>
        <v>0.10730000000000001</v>
      </c>
      <c r="AA182" s="276">
        <f>ROUND((Q178*U182*F178*O178/1000000),4)</f>
        <v>4.7300000000000002E-2</v>
      </c>
      <c r="AB182" s="276">
        <f>ROUND((R178*V182*F178*O178/1000000),4)</f>
        <v>2.63E-2</v>
      </c>
      <c r="AC182" s="277" t="s">
        <v>172</v>
      </c>
      <c r="AD182" s="278" t="s">
        <v>173</v>
      </c>
      <c r="AE182" s="40">
        <f>ROUND((((X182*E178)/1800)),4)</f>
        <v>3.5000000000000001E-3</v>
      </c>
      <c r="AF182" s="40">
        <f>ROUND(((Z182+AA182+AB182)),4)</f>
        <v>0.18090000000000001</v>
      </c>
      <c r="AG182" s="254"/>
      <c r="AH182" s="254"/>
    </row>
    <row r="183" spans="1:35" s="61" customFormat="1" ht="15" customHeight="1" x14ac:dyDescent="0.25">
      <c r="A183" s="119"/>
      <c r="B183" s="286"/>
      <c r="C183" s="119"/>
      <c r="D183" s="119"/>
      <c r="E183" s="119"/>
      <c r="F183" s="119"/>
      <c r="G183" s="119"/>
      <c r="H183" s="119"/>
      <c r="I183" s="119"/>
      <c r="J183" s="119"/>
      <c r="K183" s="119"/>
      <c r="L183" s="40">
        <v>0.77</v>
      </c>
      <c r="M183" s="40">
        <v>0.94</v>
      </c>
      <c r="N183" s="119"/>
      <c r="O183" s="119"/>
      <c r="P183" s="119"/>
      <c r="Q183" s="119"/>
      <c r="R183" s="119"/>
      <c r="S183" s="285">
        <v>1.44</v>
      </c>
      <c r="T183" s="38">
        <f>ROUND((L183*I178+1.3*L183*K178+S183*H178),4)</f>
        <v>2774.8935000000001</v>
      </c>
      <c r="U183" s="38">
        <f>ROUND((M183*0.9*I178+1.3*M183*0.9*K178+S183*H178),4)</f>
        <v>3040.2512999999999</v>
      </c>
      <c r="V183" s="38">
        <f>ROUND((M183*I178+1.3*M183*K178+S183*H178),4)</f>
        <v>3368.4569999999999</v>
      </c>
      <c r="W183" s="38">
        <f>ROUND((L183*J178+1.3*L183*N178+S183*G178),4)</f>
        <v>29.43</v>
      </c>
      <c r="X183" s="38">
        <f>ROUND((M183*0.9*J178+1.3*M183*0.9*N178+S183*G178),4)</f>
        <v>31.481999999999999</v>
      </c>
      <c r="Y183" s="38">
        <f>ROUND((M183*J178+1.3*M183*N178+S183*G178),4)</f>
        <v>34.020000000000003</v>
      </c>
      <c r="Z183" s="276">
        <f>ROUND((P178*T183*F178*O178/1000000),4)</f>
        <v>0.4995</v>
      </c>
      <c r="AA183" s="276">
        <f>ROUND((Q178*U183*F178*O178/1000000),4)</f>
        <v>0.18240000000000001</v>
      </c>
      <c r="AB183" s="276">
        <f>ROUND((R178*V183*F178*O178/1000000),4)</f>
        <v>0.1011</v>
      </c>
      <c r="AC183" s="277" t="s">
        <v>157</v>
      </c>
      <c r="AD183" s="278" t="s">
        <v>153</v>
      </c>
      <c r="AE183" s="40">
        <f>ROUND((((X183*E178)/1800)),4)</f>
        <v>1.7500000000000002E-2</v>
      </c>
      <c r="AF183" s="40">
        <f>ROUND(((Z183+AA183+AB183)),4)</f>
        <v>0.78300000000000003</v>
      </c>
      <c r="AG183" s="254"/>
      <c r="AH183" s="254"/>
    </row>
    <row r="184" spans="1:35" s="61" customFormat="1" ht="15" customHeight="1" x14ac:dyDescent="0.25">
      <c r="A184" s="1676" t="s">
        <v>610</v>
      </c>
      <c r="B184" s="1677"/>
      <c r="C184" s="1677"/>
      <c r="D184" s="1677"/>
      <c r="E184" s="1677"/>
      <c r="F184" s="1677"/>
      <c r="G184" s="1677"/>
      <c r="H184" s="1677"/>
      <c r="I184" s="1677"/>
      <c r="J184" s="1677"/>
      <c r="K184" s="1677"/>
      <c r="L184" s="1677"/>
      <c r="M184" s="1677"/>
      <c r="N184" s="1677"/>
      <c r="O184" s="1677"/>
      <c r="P184" s="1677"/>
      <c r="Q184" s="1677"/>
      <c r="R184" s="1677"/>
      <c r="S184" s="1678"/>
      <c r="T184" s="36">
        <f>ROUND((L184*I184+1.3*L184*K184+S184*H184),4)</f>
        <v>0</v>
      </c>
      <c r="U184" s="36">
        <f>ROUND((M184*I184+1.3*M184*K184+S184*H184),4)</f>
        <v>0</v>
      </c>
      <c r="V184" s="36">
        <f>ROUND((M184*I184+1.3*M184*K184+S184*H184),4)</f>
        <v>0</v>
      </c>
      <c r="W184" s="36">
        <f>ROUND((L184*J184+1.3*L184*N184+S184*G184),4)</f>
        <v>0</v>
      </c>
      <c r="X184" s="36">
        <f>ROUND((M184*J184+1.3*M184*N184+S184*G184),4)</f>
        <v>0</v>
      </c>
      <c r="Y184" s="36">
        <f>ROUND((M184*J184+1.3*M184*N184+S184*G184),4)</f>
        <v>0</v>
      </c>
      <c r="Z184" s="291">
        <f>ROUND((P184*T184*F184*O184/1000000),4)</f>
        <v>0</v>
      </c>
      <c r="AA184" s="291">
        <f>ROUND((Q184*U184*F184*O184/1000000),4)</f>
        <v>0</v>
      </c>
      <c r="AB184" s="291">
        <f>ROUND((R184*V184*F184*O184/1000000),4)</f>
        <v>0</v>
      </c>
      <c r="AC184" s="292" t="s">
        <v>165</v>
      </c>
      <c r="AD184" s="293" t="s">
        <v>144</v>
      </c>
      <c r="AE184" s="294">
        <f>MAX(AE34,AE40,AE46,AE52,AE58,AE64,AE70,AE76,AE82,AE88,AE94,AE100,AE106,AE112,AE118,AE124,AE130,AE136,AE142,AE148,AE154,AE160,AE166,AE172,AE178)</f>
        <v>0.2545</v>
      </c>
      <c r="AF184" s="294">
        <f>AF34+AF40+AF46+AF52+AF58+AF64+AF70+AF76+AF82+AF88+AF94+AF100+AF106+AF112+AF118+AF124+AF130+AF136+AF142+AF148+AF154+AF160+AF166+AF172+AF178</f>
        <v>164.13909999999996</v>
      </c>
      <c r="AG184" s="254"/>
      <c r="AH184" s="254"/>
    </row>
    <row r="185" spans="1:35" s="61" customFormat="1" ht="15" customHeight="1" x14ac:dyDescent="0.25">
      <c r="A185" s="1676"/>
      <c r="B185" s="1679"/>
      <c r="C185" s="1679"/>
      <c r="D185" s="1679"/>
      <c r="E185" s="1679"/>
      <c r="F185" s="1679"/>
      <c r="G185" s="1679"/>
      <c r="H185" s="1679"/>
      <c r="I185" s="1679"/>
      <c r="J185" s="1679"/>
      <c r="K185" s="1679"/>
      <c r="L185" s="1679"/>
      <c r="M185" s="1679"/>
      <c r="N185" s="1679"/>
      <c r="O185" s="1679"/>
      <c r="P185" s="1679"/>
      <c r="Q185" s="1679"/>
      <c r="R185" s="1679"/>
      <c r="S185" s="1680"/>
      <c r="T185" s="37"/>
      <c r="U185" s="37"/>
      <c r="V185" s="37"/>
      <c r="W185" s="37"/>
      <c r="X185" s="37"/>
      <c r="Y185" s="37"/>
      <c r="Z185" s="37"/>
      <c r="AA185" s="37"/>
      <c r="AB185" s="37"/>
      <c r="AC185" s="292" t="s">
        <v>166</v>
      </c>
      <c r="AD185" s="293" t="s">
        <v>167</v>
      </c>
      <c r="AE185" s="294">
        <f t="shared" ref="AE185:AE189" si="0">MAX(AE35,AE41,AE47,AE53,AE59,AE65,AE71,AE77,AE83,AE89,AE95,AE101,AE107,AE113,AE119,AE125,AE131,AE137,AE143,AE149,AE155,AE161,AE167,AE173,AE179)</f>
        <v>4.1300000000000003E-2</v>
      </c>
      <c r="AF185" s="294">
        <f t="shared" ref="AF185:AF189" si="1">AF35+AF41+AF47+AF53+AF59+AF65+AF71+AF77+AF83+AF89+AF95+AF101+AF107+AF113+AF119+AF125+AF131+AF137+AF143+AF149+AF155+AF161+AF167+AF173+AF179</f>
        <v>26.672699999999999</v>
      </c>
      <c r="AG185" s="254"/>
      <c r="AH185" s="254"/>
    </row>
    <row r="186" spans="1:35" s="61" customFormat="1" ht="15" customHeight="1" x14ac:dyDescent="0.25">
      <c r="A186" s="1676"/>
      <c r="B186" s="1679"/>
      <c r="C186" s="1679"/>
      <c r="D186" s="1679"/>
      <c r="E186" s="1679"/>
      <c r="F186" s="1679"/>
      <c r="G186" s="1679"/>
      <c r="H186" s="1679"/>
      <c r="I186" s="1679"/>
      <c r="J186" s="1679"/>
      <c r="K186" s="1679"/>
      <c r="L186" s="1679"/>
      <c r="M186" s="1679"/>
      <c r="N186" s="1679"/>
      <c r="O186" s="1679"/>
      <c r="P186" s="1679"/>
      <c r="Q186" s="1679"/>
      <c r="R186" s="1679"/>
      <c r="S186" s="1680"/>
      <c r="T186" s="36">
        <f>ROUND((L186*I184+1.3*L186*K184+S186*H184),4)</f>
        <v>0</v>
      </c>
      <c r="U186" s="36">
        <f>ROUND((M186*0.9*I184+1.3*M186*0.9*K184+S186*H184),4)</f>
        <v>0</v>
      </c>
      <c r="V186" s="36">
        <f>ROUND((M186*I184+1.3*M186*K184+S186*H184),4)</f>
        <v>0</v>
      </c>
      <c r="W186" s="36">
        <f>ROUND((L186*J184+1.3*L186*N184+S186*G184),4)</f>
        <v>0</v>
      </c>
      <c r="X186" s="36">
        <f>ROUND((M186*0.9*J184+1.3*M186*0.9*N184+S186*G184),4)</f>
        <v>0</v>
      </c>
      <c r="Y186" s="36">
        <f>ROUND((M186*J184+1.3*M186*N184+S186*G184),4)</f>
        <v>0</v>
      </c>
      <c r="Z186" s="291">
        <f>ROUND((P184*T186*F184*O184/1000000),4)</f>
        <v>0</v>
      </c>
      <c r="AA186" s="291">
        <f>ROUND((Q184*U186*F184*O184/1000000),4)</f>
        <v>0</v>
      </c>
      <c r="AB186" s="291">
        <f>ROUND((R184*V186*F184*O184/1000000),4)</f>
        <v>0</v>
      </c>
      <c r="AC186" s="292" t="s">
        <v>547</v>
      </c>
      <c r="AD186" s="293" t="s">
        <v>169</v>
      </c>
      <c r="AE186" s="294">
        <f t="shared" si="0"/>
        <v>2.9100000000000001E-2</v>
      </c>
      <c r="AF186" s="294">
        <f t="shared" si="1"/>
        <v>21.38389999999999</v>
      </c>
      <c r="AG186" s="254"/>
      <c r="AH186" s="254"/>
    </row>
    <row r="187" spans="1:35" s="61" customFormat="1" ht="15" customHeight="1" x14ac:dyDescent="0.25">
      <c r="A187" s="1676"/>
      <c r="B187" s="1679"/>
      <c r="C187" s="1679"/>
      <c r="D187" s="1679"/>
      <c r="E187" s="1679"/>
      <c r="F187" s="1679"/>
      <c r="G187" s="1679"/>
      <c r="H187" s="1679"/>
      <c r="I187" s="1679"/>
      <c r="J187" s="1679"/>
      <c r="K187" s="1679"/>
      <c r="L187" s="1679"/>
      <c r="M187" s="1679"/>
      <c r="N187" s="1679"/>
      <c r="O187" s="1679"/>
      <c r="P187" s="1679"/>
      <c r="Q187" s="1679"/>
      <c r="R187" s="1679"/>
      <c r="S187" s="1680"/>
      <c r="T187" s="36">
        <f>ROUND((L187*I184+1.3*L187*K184+S187*H184),4)</f>
        <v>0</v>
      </c>
      <c r="U187" s="36">
        <f>ROUND((M187*0.9*I184+1.3*M187*0.9*K184+S187*H184),4)</f>
        <v>0</v>
      </c>
      <c r="V187" s="36">
        <f>ROUND((M187*I184+1.3*M187*K184+S187*H184),4)</f>
        <v>0</v>
      </c>
      <c r="W187" s="36">
        <f>ROUND((L187*J184+1.3*L187*N184+S187*G184),4)</f>
        <v>0</v>
      </c>
      <c r="X187" s="36">
        <f>ROUND((M187*0.9*J184+1.3*M187*0.9*N184+S187*G184),4)</f>
        <v>0</v>
      </c>
      <c r="Y187" s="36">
        <f>ROUND((M187*J184+1.3*N184+S187*G184),4)</f>
        <v>0</v>
      </c>
      <c r="Z187" s="291">
        <f>ROUND((P184*T187*F184*O184/1000000),4)</f>
        <v>0</v>
      </c>
      <c r="AA187" s="291">
        <f>ROUND((Q184*U187*F184*O184/1000000),4)</f>
        <v>0</v>
      </c>
      <c r="AB187" s="291">
        <f>ROUND((R184*V187*F184*O184/1000000),4)</f>
        <v>0</v>
      </c>
      <c r="AC187" s="292" t="s">
        <v>548</v>
      </c>
      <c r="AD187" s="293" t="s">
        <v>549</v>
      </c>
      <c r="AE187" s="294">
        <f t="shared" si="0"/>
        <v>6.6299999999999998E-2</v>
      </c>
      <c r="AF187" s="294">
        <f>AF37+AF43+AF49+AF55+AF61+AF67+AF73+AF79+AF85+AF91+AF97+AF103+AF109+AF115+AF121+AF127+AF133+AF139+AF145+AF151+AF157+AF163+AF169+AF175+AF181</f>
        <v>37.80019999999999</v>
      </c>
      <c r="AG187" s="254"/>
      <c r="AH187" s="254"/>
    </row>
    <row r="188" spans="1:35" s="61" customFormat="1" ht="15" customHeight="1" x14ac:dyDescent="0.25">
      <c r="A188" s="1676"/>
      <c r="B188" s="1679"/>
      <c r="C188" s="1679"/>
      <c r="D188" s="1679"/>
      <c r="E188" s="1679"/>
      <c r="F188" s="1679"/>
      <c r="G188" s="1679"/>
      <c r="H188" s="1679"/>
      <c r="I188" s="1679"/>
      <c r="J188" s="1679"/>
      <c r="K188" s="1679"/>
      <c r="L188" s="1679"/>
      <c r="M188" s="1679"/>
      <c r="N188" s="1679"/>
      <c r="O188" s="1679"/>
      <c r="P188" s="1679"/>
      <c r="Q188" s="1679"/>
      <c r="R188" s="1679"/>
      <c r="S188" s="1680"/>
      <c r="T188" s="36">
        <f>ROUND((L188*I184+1.3*L188*K184+S188*H184),4)</f>
        <v>0</v>
      </c>
      <c r="U188" s="36">
        <f>ROUND((M188*0.9*I184+1.3*M188*0.9*K184+S188*H184),4)</f>
        <v>0</v>
      </c>
      <c r="V188" s="36">
        <f>ROUND((M188*I184+1.3*M188*K184+S188*H184),4)</f>
        <v>0</v>
      </c>
      <c r="W188" s="36">
        <f>ROUND((L188*J184+1.3*L188*N184+S188*G184),4)</f>
        <v>0</v>
      </c>
      <c r="X188" s="36">
        <f>ROUND((M188*0.9*J184+1.3*M188*0.9*N184+S188*G184),4)</f>
        <v>0</v>
      </c>
      <c r="Y188" s="36">
        <f>ROUND((M188*J184+1.3*M188*N184+S188*G184),4)</f>
        <v>0</v>
      </c>
      <c r="Z188" s="291">
        <f>ROUND((P184*T188*F184*O184/1000000),4)</f>
        <v>0</v>
      </c>
      <c r="AA188" s="291">
        <f>ROUND((Q184*U188*F184*O184/1000000),4)</f>
        <v>0</v>
      </c>
      <c r="AB188" s="291">
        <f>ROUND((R184*V188*F184*O184/1000000),4)</f>
        <v>0</v>
      </c>
      <c r="AC188" s="292" t="s">
        <v>172</v>
      </c>
      <c r="AD188" s="293" t="s">
        <v>173</v>
      </c>
      <c r="AE188" s="294">
        <f t="shared" si="0"/>
        <v>4.7600000000000003E-2</v>
      </c>
      <c r="AF188" s="294">
        <f t="shared" si="1"/>
        <v>25.882899999999985</v>
      </c>
      <c r="AG188" s="254"/>
      <c r="AH188" s="254"/>
    </row>
    <row r="189" spans="1:35" s="61" customFormat="1" ht="15" customHeight="1" x14ac:dyDescent="0.3">
      <c r="A189" s="1681"/>
      <c r="B189" s="1682"/>
      <c r="C189" s="1682"/>
      <c r="D189" s="1682"/>
      <c r="E189" s="1682"/>
      <c r="F189" s="1682"/>
      <c r="G189" s="1682"/>
      <c r="H189" s="1682"/>
      <c r="I189" s="1682"/>
      <c r="J189" s="1682"/>
      <c r="K189" s="1682"/>
      <c r="L189" s="1682"/>
      <c r="M189" s="1682"/>
      <c r="N189" s="1682"/>
      <c r="O189" s="1682"/>
      <c r="P189" s="1682"/>
      <c r="Q189" s="1682"/>
      <c r="R189" s="1682"/>
      <c r="S189" s="1683"/>
      <c r="T189" s="36">
        <f>ROUND((L189*I184+1.3*L189*K184+S189*H184),4)</f>
        <v>0</v>
      </c>
      <c r="U189" s="36">
        <f>ROUND((M189*0.9*I184+1.3*M189*0.9*K184+S189*H184),4)</f>
        <v>0</v>
      </c>
      <c r="V189" s="36">
        <f>ROUND((M189*I184+1.3*M189*K184+S189*H184),4)</f>
        <v>0</v>
      </c>
      <c r="W189" s="36">
        <f>ROUND((L189*J184+1.3*L189*N184+S189*G184),4)</f>
        <v>0</v>
      </c>
      <c r="X189" s="36">
        <f>ROUND((M189*0.9*J184+1.3*M189*0.9*N184+S189*G184),4)</f>
        <v>0</v>
      </c>
      <c r="Y189" s="36">
        <f>ROUND((M189*J184+1.3*M189*N184+S189*G184),4)</f>
        <v>0</v>
      </c>
      <c r="Z189" s="291">
        <f>ROUND((P184*T189*F184*O184/1000000),4)</f>
        <v>0</v>
      </c>
      <c r="AA189" s="291">
        <f>ROUND((Q184*U189*F184*O184/1000000),4)</f>
        <v>0</v>
      </c>
      <c r="AB189" s="291">
        <f>ROUND((R184*V189*F184*O184/1000000),4)</f>
        <v>0</v>
      </c>
      <c r="AC189" s="292" t="s">
        <v>157</v>
      </c>
      <c r="AD189" s="293" t="s">
        <v>153</v>
      </c>
      <c r="AE189" s="294">
        <f t="shared" si="0"/>
        <v>0.24079999999999999</v>
      </c>
      <c r="AF189" s="294">
        <f t="shared" si="1"/>
        <v>112.83080000000002</v>
      </c>
      <c r="AG189" s="565">
        <f>SUM(AE184:AE189)</f>
        <v>0.67959999999999998</v>
      </c>
      <c r="AH189" s="173">
        <f>SUM(AF184:AF189)</f>
        <v>388.70959999999991</v>
      </c>
      <c r="AI189" s="577">
        <v>2026</v>
      </c>
    </row>
    <row r="190" spans="1:35" s="61" customFormat="1" ht="15" customHeight="1" x14ac:dyDescent="0.25">
      <c r="A190" s="1690" t="s">
        <v>11</v>
      </c>
      <c r="B190" s="1691"/>
      <c r="C190" s="1691"/>
      <c r="D190" s="1691"/>
      <c r="E190" s="1691"/>
      <c r="F190" s="1691"/>
      <c r="G190" s="1691"/>
      <c r="H190" s="1691"/>
      <c r="I190" s="1691"/>
      <c r="J190" s="1691"/>
      <c r="K190" s="1691"/>
      <c r="L190" s="1691"/>
      <c r="M190" s="1691"/>
      <c r="N190" s="1691"/>
      <c r="O190" s="1691"/>
      <c r="P190" s="1691"/>
      <c r="Q190" s="1691"/>
      <c r="R190" s="1691"/>
      <c r="S190" s="1691"/>
      <c r="T190" s="1691"/>
      <c r="U190" s="1691"/>
      <c r="V190" s="1691"/>
      <c r="W190" s="1691"/>
      <c r="X190" s="1691"/>
      <c r="Y190" s="1691"/>
      <c r="Z190" s="1691"/>
      <c r="AA190" s="1691"/>
      <c r="AB190" s="1691"/>
      <c r="AC190" s="1691"/>
      <c r="AD190" s="1691"/>
      <c r="AE190" s="1691"/>
      <c r="AF190" s="1692"/>
      <c r="AG190" s="254"/>
      <c r="AH190" s="254"/>
    </row>
    <row r="191" spans="1:35" s="61" customFormat="1" ht="15" customHeight="1" x14ac:dyDescent="0.25">
      <c r="A191" s="30">
        <v>7122</v>
      </c>
      <c r="B191" s="255" t="s">
        <v>544</v>
      </c>
      <c r="C191" s="30">
        <v>4</v>
      </c>
      <c r="D191" s="30" t="s">
        <v>545</v>
      </c>
      <c r="E191" s="30">
        <v>1</v>
      </c>
      <c r="F191" s="30">
        <v>15</v>
      </c>
      <c r="G191" s="30">
        <v>6</v>
      </c>
      <c r="H191" s="30">
        <v>60</v>
      </c>
      <c r="I191" s="30">
        <f>(8-1-0.75*2)*60*F191-K191-8*0.12*60</f>
        <v>1674.9</v>
      </c>
      <c r="J191" s="30">
        <v>14</v>
      </c>
      <c r="K191" s="30">
        <f>(8-1-0.75*2)*0.65*60*F191</f>
        <v>3217.5</v>
      </c>
      <c r="L191" s="30">
        <v>2.4700000000000002</v>
      </c>
      <c r="M191" s="30">
        <v>2.4700000000000002</v>
      </c>
      <c r="N191" s="30">
        <v>10</v>
      </c>
      <c r="O191" s="30">
        <f>E191/F191</f>
        <v>6.6666666666666666E-2</v>
      </c>
      <c r="P191" s="30">
        <v>180</v>
      </c>
      <c r="Q191" s="30">
        <v>90</v>
      </c>
      <c r="R191" s="256">
        <v>90</v>
      </c>
      <c r="S191" s="30">
        <v>0.48</v>
      </c>
      <c r="T191" s="30">
        <f>ROUND((L191*I191+1.3*L191*K191+S191*H191),4)</f>
        <v>14497.1955</v>
      </c>
      <c r="U191" s="30">
        <f>ROUND((M191*I191+1.3*M191*K191+S191*H191),4)</f>
        <v>14497.1955</v>
      </c>
      <c r="V191" s="30">
        <f>ROUND((M191*I191+1.3*M191*K191+S191*H191),4)</f>
        <v>14497.1955</v>
      </c>
      <c r="W191" s="30">
        <f>ROUND((L191*J191+1.3*L191*N191+S191*G191),4)</f>
        <v>69.569999999999993</v>
      </c>
      <c r="X191" s="30">
        <f>ROUND((M191*J191+1.3*M191*N191+S191*G191),4)</f>
        <v>69.569999999999993</v>
      </c>
      <c r="Y191" s="30">
        <f>ROUND((M191*J191+1.3*M191*N191+S191*G191),4)</f>
        <v>69.569999999999993</v>
      </c>
      <c r="Z191" s="257">
        <f>ROUND((P191*T191*F191*O191/1000000),4)</f>
        <v>2.6095000000000002</v>
      </c>
      <c r="AA191" s="257">
        <f>ROUND((Q191*U191*F191*O191/1000000),4)</f>
        <v>1.3047</v>
      </c>
      <c r="AB191" s="257">
        <f>ROUND((R191*V191*F191*O191/1000000),4)</f>
        <v>1.3047</v>
      </c>
      <c r="AC191" s="258" t="s">
        <v>165</v>
      </c>
      <c r="AD191" s="259" t="s">
        <v>144</v>
      </c>
      <c r="AE191" s="34">
        <f>ROUND((((X191*E191)/1800)*0.8),4)</f>
        <v>3.09E-2</v>
      </c>
      <c r="AF191" s="34">
        <f>ROUND(((Z191+AA191+AB191)*0.8),4)</f>
        <v>4.1750999999999996</v>
      </c>
      <c r="AG191" s="254"/>
      <c r="AH191" s="254"/>
    </row>
    <row r="192" spans="1:35" s="61" customFormat="1" ht="15" customHeight="1" x14ac:dyDescent="0.25">
      <c r="A192" s="260"/>
      <c r="B192" s="1640" t="s">
        <v>546</v>
      </c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262"/>
      <c r="T192" s="32"/>
      <c r="U192" s="32"/>
      <c r="V192" s="32"/>
      <c r="W192" s="32"/>
      <c r="X192" s="32"/>
      <c r="Y192" s="32"/>
      <c r="Z192" s="32"/>
      <c r="AA192" s="32"/>
      <c r="AB192" s="32"/>
      <c r="AC192" s="258" t="s">
        <v>166</v>
      </c>
      <c r="AD192" s="259" t="s">
        <v>167</v>
      </c>
      <c r="AE192" s="34">
        <f>ROUND((((X191*E191)/1800)*0.13),4)</f>
        <v>5.0000000000000001E-3</v>
      </c>
      <c r="AF192" s="34">
        <f>ROUND(((Z191+AA191+AB191)*0.13),4)</f>
        <v>0.67849999999999999</v>
      </c>
      <c r="AG192" s="254"/>
      <c r="AH192" s="254"/>
    </row>
    <row r="193" spans="1:34" s="61" customFormat="1" ht="15" customHeight="1" x14ac:dyDescent="0.25">
      <c r="A193" s="260"/>
      <c r="B193" s="1640"/>
      <c r="C193" s="263"/>
      <c r="D193" s="263"/>
      <c r="E193" s="32"/>
      <c r="F193" s="32"/>
      <c r="G193" s="32"/>
      <c r="H193" s="32"/>
      <c r="I193" s="32"/>
      <c r="J193" s="32"/>
      <c r="K193" s="32"/>
      <c r="L193" s="32">
        <v>0.19</v>
      </c>
      <c r="M193" s="32">
        <v>0.23</v>
      </c>
      <c r="N193" s="32"/>
      <c r="O193" s="32"/>
      <c r="P193" s="32"/>
      <c r="Q193" s="32"/>
      <c r="R193" s="32"/>
      <c r="S193" s="33">
        <v>9.7000000000000003E-2</v>
      </c>
      <c r="T193" s="30">
        <f>ROUND((L193*I191+1.3*L193*K191+S193*H191),4)</f>
        <v>1118.7735</v>
      </c>
      <c r="U193" s="30">
        <f>ROUND((M193*0.9*I191+1.3*M193*0.9*K191+S193*H191),4)</f>
        <v>1218.3535999999999</v>
      </c>
      <c r="V193" s="30">
        <f>ROUND((M193*I191+1.3*M193*K191+S193*H191),4)</f>
        <v>1353.0795000000001</v>
      </c>
      <c r="W193" s="30">
        <f>ROUND((L193*J191+1.3*L193*N191+S193*G191),4)</f>
        <v>5.7119999999999997</v>
      </c>
      <c r="X193" s="30">
        <f>ROUND((M193*0.9*J191+1.3*M193*0.9*N191+S193*G191),4)</f>
        <v>6.1710000000000003</v>
      </c>
      <c r="Y193" s="30">
        <f>ROUND((M193*J191+1.3*M193*N191+S193*G191),4)</f>
        <v>6.7919999999999998</v>
      </c>
      <c r="Z193" s="257">
        <f>ROUND((P191*T193*F191*O191/1000000),4)</f>
        <v>0.2014</v>
      </c>
      <c r="AA193" s="257">
        <f>ROUND((Q191*U193*F191*O191/1000000),4)</f>
        <v>0.10970000000000001</v>
      </c>
      <c r="AB193" s="257">
        <f>ROUND((R191*V193*F191*O191/1000000),4)</f>
        <v>0.12180000000000001</v>
      </c>
      <c r="AC193" s="258" t="s">
        <v>547</v>
      </c>
      <c r="AD193" s="259" t="s">
        <v>169</v>
      </c>
      <c r="AE193" s="34">
        <f>ROUND((((X193*E191)/1800)),4)</f>
        <v>3.3999999999999998E-3</v>
      </c>
      <c r="AF193" s="34">
        <f>ROUND(((Z193+AA193+AB193)),5)</f>
        <v>0.43290000000000001</v>
      </c>
      <c r="AG193" s="254"/>
      <c r="AH193" s="254"/>
    </row>
    <row r="194" spans="1:34" s="61" customFormat="1" ht="15" customHeight="1" x14ac:dyDescent="0.25">
      <c r="A194" s="260"/>
      <c r="B194" s="264"/>
      <c r="C194" s="32"/>
      <c r="D194" s="32"/>
      <c r="E194" s="32"/>
      <c r="F194" s="32"/>
      <c r="G194" s="32"/>
      <c r="H194" s="32"/>
      <c r="I194" s="32"/>
      <c r="J194" s="32"/>
      <c r="K194" s="32"/>
      <c r="L194" s="32">
        <v>0.43</v>
      </c>
      <c r="M194" s="32">
        <v>0.51</v>
      </c>
      <c r="N194" s="32"/>
      <c r="O194" s="32"/>
      <c r="P194" s="32"/>
      <c r="Q194" s="32"/>
      <c r="R194" s="32"/>
      <c r="S194" s="33">
        <v>0.3</v>
      </c>
      <c r="T194" s="30">
        <f>ROUND((L194*I191+1.3*L194*K191+S194*H191),4)</f>
        <v>2536.7894999999999</v>
      </c>
      <c r="U194" s="30">
        <f>ROUND((M194*0.9*I191+1.3*M194*0.9*K191+S194*H191),4)</f>
        <v>2706.6614</v>
      </c>
      <c r="V194" s="30">
        <f>ROUND((M194*I191+1.3*M194*K191+S194*H191),4)</f>
        <v>3005.4014999999999</v>
      </c>
      <c r="W194" s="30">
        <f>ROUND((L194*J191+1.3*L194*N191+S194*G191),4)</f>
        <v>13.41</v>
      </c>
      <c r="X194" s="30">
        <f>ROUND((M194*0.9*J191+1.3*M194*0.9*N191+S194*G191),4)</f>
        <v>14.193</v>
      </c>
      <c r="Y194" s="30">
        <f>ROUND((M194*J191+1.3*N191+S194*G191),4)</f>
        <v>21.94</v>
      </c>
      <c r="Z194" s="257">
        <f>ROUND((P191*T194*F191*O191/1000000),4)</f>
        <v>0.45660000000000001</v>
      </c>
      <c r="AA194" s="257">
        <f>ROUND((Q191*U194*F191*O191/1000000),4)</f>
        <v>0.24360000000000001</v>
      </c>
      <c r="AB194" s="257">
        <f>ROUND((R191*V194*F191*O191/1000000),4)</f>
        <v>0.27050000000000002</v>
      </c>
      <c r="AC194" s="258" t="s">
        <v>548</v>
      </c>
      <c r="AD194" s="259" t="s">
        <v>549</v>
      </c>
      <c r="AE194" s="34">
        <f>ROUND((((X194*E191)/1800)),4)</f>
        <v>7.9000000000000008E-3</v>
      </c>
      <c r="AF194" s="34">
        <f>ROUND(((Z194+AA194+AB194)),4)</f>
        <v>0.97070000000000001</v>
      </c>
      <c r="AG194" s="254"/>
      <c r="AH194" s="254"/>
    </row>
    <row r="195" spans="1:34" s="61" customFormat="1" ht="15" customHeight="1" x14ac:dyDescent="0.25">
      <c r="A195" s="260"/>
      <c r="B195" s="261"/>
      <c r="C195" s="32"/>
      <c r="D195" s="32"/>
      <c r="E195" s="32"/>
      <c r="F195" s="32"/>
      <c r="G195" s="32"/>
      <c r="H195" s="32"/>
      <c r="I195" s="32"/>
      <c r="J195" s="32"/>
      <c r="K195" s="32"/>
      <c r="L195" s="32">
        <v>0.27</v>
      </c>
      <c r="M195" s="32">
        <v>0.41</v>
      </c>
      <c r="N195" s="32"/>
      <c r="O195" s="32"/>
      <c r="P195" s="32"/>
      <c r="Q195" s="32"/>
      <c r="R195" s="32"/>
      <c r="S195" s="33">
        <v>0.06</v>
      </c>
      <c r="T195" s="30">
        <f>ROUND((L195*I191+1.3*L195*K191+S195*H191),4)</f>
        <v>1585.1655000000001</v>
      </c>
      <c r="U195" s="30">
        <f>ROUND((M195*0.9*I191+1.3*M195*0.9*K191+S195*H191),4)</f>
        <v>2165.0729000000001</v>
      </c>
      <c r="V195" s="30">
        <f>ROUND((M195*I191+1.3*M195*K191+S195*H191),4)</f>
        <v>2405.2365</v>
      </c>
      <c r="W195" s="30">
        <f>ROUND((L195*J191+1.3*L195*N191+S195*G191),4)</f>
        <v>7.65</v>
      </c>
      <c r="X195" s="30">
        <f>ROUND((M195*0.9*J191+1.3*M195*0.9*N191+S195*G191),4)</f>
        <v>10.323</v>
      </c>
      <c r="Y195" s="30">
        <f>ROUND((M195*J191+1.3*M195*N191+S195*G191),4)</f>
        <v>11.43</v>
      </c>
      <c r="Z195" s="257">
        <f>ROUND((P191*T195*F191*O191/1000000),4)</f>
        <v>0.2853</v>
      </c>
      <c r="AA195" s="257">
        <f>ROUND((Q191*U195*F191*O191/1000000),4)</f>
        <v>0.19489999999999999</v>
      </c>
      <c r="AB195" s="257">
        <f>ROUND((R191*V195*F191*O191/1000000),4)</f>
        <v>0.2165</v>
      </c>
      <c r="AC195" s="258" t="s">
        <v>172</v>
      </c>
      <c r="AD195" s="259" t="s">
        <v>173</v>
      </c>
      <c r="AE195" s="34">
        <f>ROUND((((X195*E191)/1800)),4)</f>
        <v>5.7000000000000002E-3</v>
      </c>
      <c r="AF195" s="34">
        <f>ROUND(((Z195+AA195+AB195)),4)</f>
        <v>0.69669999999999999</v>
      </c>
      <c r="AG195" s="254"/>
      <c r="AH195" s="254"/>
    </row>
    <row r="196" spans="1:34" s="61" customFormat="1" ht="15" customHeight="1" x14ac:dyDescent="0.25">
      <c r="A196" s="260"/>
      <c r="B196" s="261"/>
      <c r="C196" s="265"/>
      <c r="D196" s="265"/>
      <c r="E196" s="265"/>
      <c r="F196" s="265"/>
      <c r="G196" s="265"/>
      <c r="H196" s="265"/>
      <c r="I196" s="265"/>
      <c r="J196" s="265"/>
      <c r="K196" s="265"/>
      <c r="L196" s="265">
        <v>1.29</v>
      </c>
      <c r="M196" s="265">
        <v>1.57</v>
      </c>
      <c r="N196" s="265"/>
      <c r="O196" s="265"/>
      <c r="P196" s="265"/>
      <c r="Q196" s="265"/>
      <c r="R196" s="265"/>
      <c r="S196" s="33">
        <v>2.4</v>
      </c>
      <c r="T196" s="33">
        <f>ROUND((L196*I191+1.3*L196*K191+S196*H191),4)</f>
        <v>7700.3684999999996</v>
      </c>
      <c r="U196" s="33">
        <f>ROUND((M196*0.9*I191+1.3*M196*0.9*K191+S196*H191),4)</f>
        <v>8420.8595000000005</v>
      </c>
      <c r="V196" s="33">
        <f>ROUND((M196*I191+1.3*M196*K191+S196*H191),4)</f>
        <v>9340.5105000000003</v>
      </c>
      <c r="W196" s="33">
        <f>ROUND((L196*J191+1.3*L196*N191+S196*G191),4)</f>
        <v>49.23</v>
      </c>
      <c r="X196" s="33">
        <f>ROUND((M196*0.9*J191+1.3*M196*0.9*N191+S196*G191),4)</f>
        <v>52.551000000000002</v>
      </c>
      <c r="Y196" s="33">
        <f>ROUND((M196*J191+1.3*M196*N191+S196*G191),4)</f>
        <v>56.79</v>
      </c>
      <c r="Z196" s="266">
        <f>ROUND((P191*T196*F191*O191/1000000),4)</f>
        <v>1.3861000000000001</v>
      </c>
      <c r="AA196" s="266">
        <f>ROUND((Q191*U196*F191*O191/1000000),4)</f>
        <v>0.75790000000000002</v>
      </c>
      <c r="AB196" s="266">
        <f>ROUND((R191*V196*F191*O191/1000000),4)</f>
        <v>0.84060000000000001</v>
      </c>
      <c r="AC196" s="258" t="s">
        <v>157</v>
      </c>
      <c r="AD196" s="259" t="s">
        <v>153</v>
      </c>
      <c r="AE196" s="34">
        <f>ROUND((((X196*E191)/1800)),4)</f>
        <v>2.92E-2</v>
      </c>
      <c r="AF196" s="34">
        <f>ROUND(((Z196+AA196+AB196)),4)</f>
        <v>2.9845999999999999</v>
      </c>
      <c r="AG196" s="254"/>
      <c r="AH196" s="254"/>
    </row>
    <row r="197" spans="1:34" s="61" customFormat="1" ht="15" customHeight="1" x14ac:dyDescent="0.25">
      <c r="A197" s="260"/>
      <c r="B197" s="255" t="s">
        <v>551</v>
      </c>
      <c r="C197" s="255">
        <v>5</v>
      </c>
      <c r="D197" s="30" t="s">
        <v>552</v>
      </c>
      <c r="E197" s="30">
        <v>2</v>
      </c>
      <c r="F197" s="30">
        <v>25</v>
      </c>
      <c r="G197" s="30">
        <v>6</v>
      </c>
      <c r="H197" s="30">
        <v>60</v>
      </c>
      <c r="I197" s="30">
        <f>(8-1-0.75*2)*60*F197-K197-8*0.12*60</f>
        <v>2829.9</v>
      </c>
      <c r="J197" s="30">
        <v>14</v>
      </c>
      <c r="K197" s="30">
        <f>(8-1-0.75*2)*0.65*60*F197</f>
        <v>5362.5</v>
      </c>
      <c r="L197" s="30">
        <v>4.01</v>
      </c>
      <c r="M197" s="30">
        <v>4.01</v>
      </c>
      <c r="N197" s="30">
        <v>10</v>
      </c>
      <c r="O197" s="30">
        <f>E197/F197</f>
        <v>0.08</v>
      </c>
      <c r="P197" s="30">
        <v>180</v>
      </c>
      <c r="Q197" s="30">
        <v>90</v>
      </c>
      <c r="R197" s="256">
        <v>90</v>
      </c>
      <c r="S197" s="256">
        <v>0.78</v>
      </c>
      <c r="T197" s="30">
        <f>ROUND((L197*I197+1.3*L197*K197+S197*H197),4)</f>
        <v>39349.411500000002</v>
      </c>
      <c r="U197" s="30">
        <f>ROUND((M197*I197+1.3*M197*K197+S197*H197),4)</f>
        <v>39349.411500000002</v>
      </c>
      <c r="V197" s="30">
        <f>ROUND((M197*I197+1.3*M197*K197+S197*H197),4)</f>
        <v>39349.411500000002</v>
      </c>
      <c r="W197" s="30">
        <f>ROUND((L197*J197+1.3*L197*N197+S197*G197),4)</f>
        <v>112.95</v>
      </c>
      <c r="X197" s="30">
        <f>ROUND((M197*J197+1.3*M197*N197+S197*G197),4)</f>
        <v>112.95</v>
      </c>
      <c r="Y197" s="30">
        <f>ROUND((M197*J197+1.3*M197*N197+S197*G197),4)</f>
        <v>112.95</v>
      </c>
      <c r="Z197" s="257">
        <f>ROUND((P197*T197*F197*O197/1000000),4)</f>
        <v>14.165800000000001</v>
      </c>
      <c r="AA197" s="257">
        <f>ROUND((Q197*U197*F197*O197/1000000),4)</f>
        <v>7.0829000000000004</v>
      </c>
      <c r="AB197" s="257">
        <f>ROUND((R197*V197*F197*O197/1000000),4)</f>
        <v>7.0829000000000004</v>
      </c>
      <c r="AC197" s="258" t="s">
        <v>165</v>
      </c>
      <c r="AD197" s="259" t="s">
        <v>144</v>
      </c>
      <c r="AE197" s="34">
        <f>ROUND((((X197*E197)/1800)*0.8),4)</f>
        <v>0.1004</v>
      </c>
      <c r="AF197" s="34">
        <f>ROUND(((Z197+AA197+AB197)*0.8),4)</f>
        <v>22.665299999999998</v>
      </c>
    </row>
    <row r="198" spans="1:34" s="61" customFormat="1" ht="15" customHeight="1" x14ac:dyDescent="0.25">
      <c r="A198" s="260"/>
      <c r="B198" s="267" t="s">
        <v>553</v>
      </c>
      <c r="C198" s="261"/>
      <c r="D198" s="32"/>
      <c r="E198" s="32"/>
      <c r="F198" s="32"/>
      <c r="G198" s="32"/>
      <c r="H198" s="32"/>
      <c r="I198" s="32"/>
      <c r="J198" s="32"/>
      <c r="K198" s="32"/>
      <c r="L198" s="265"/>
      <c r="M198" s="265"/>
      <c r="N198" s="32"/>
      <c r="O198" s="32"/>
      <c r="P198" s="32"/>
      <c r="Q198" s="32"/>
      <c r="R198" s="32"/>
      <c r="S198" s="268"/>
      <c r="T198" s="32"/>
      <c r="U198" s="32"/>
      <c r="V198" s="32"/>
      <c r="W198" s="32"/>
      <c r="X198" s="32"/>
      <c r="Y198" s="32"/>
      <c r="Z198" s="32"/>
      <c r="AA198" s="32"/>
      <c r="AB198" s="32"/>
      <c r="AC198" s="258" t="s">
        <v>166</v>
      </c>
      <c r="AD198" s="259" t="s">
        <v>167</v>
      </c>
      <c r="AE198" s="34">
        <f>ROUND((((X197*E197)/1800)*0.13),4)</f>
        <v>1.6299999999999999E-2</v>
      </c>
      <c r="AF198" s="34">
        <f>ROUND(((Z197+AA197+AB197)*0.13),4)</f>
        <v>3.6831</v>
      </c>
    </row>
    <row r="199" spans="1:34" s="61" customFormat="1" ht="15" customHeight="1" x14ac:dyDescent="0.25">
      <c r="A199" s="260"/>
      <c r="B199" s="261"/>
      <c r="C199" s="269"/>
      <c r="D199" s="263"/>
      <c r="E199" s="32"/>
      <c r="F199" s="32"/>
      <c r="G199" s="32"/>
      <c r="H199" s="32"/>
      <c r="I199" s="32"/>
      <c r="J199" s="32"/>
      <c r="K199" s="32"/>
      <c r="L199" s="34">
        <v>0.31</v>
      </c>
      <c r="M199" s="34">
        <v>0.38</v>
      </c>
      <c r="N199" s="32"/>
      <c r="O199" s="32"/>
      <c r="P199" s="32"/>
      <c r="Q199" s="32"/>
      <c r="R199" s="32"/>
      <c r="S199" s="270">
        <v>0.16</v>
      </c>
      <c r="T199" s="30">
        <f>ROUND((L199*I197+1.3*L199*K197+S199*H197),4)</f>
        <v>3047.9564999999998</v>
      </c>
      <c r="U199" s="30">
        <f>ROUND((M199*0.9*I197+1.3*M199*0.9*K197+S199*H197),4)</f>
        <v>3361.5933</v>
      </c>
      <c r="V199" s="30">
        <f>ROUND((M199*I197+1.3*M199*K197+S199*H197),4)</f>
        <v>3734.0369999999998</v>
      </c>
      <c r="W199" s="30">
        <f>ROUND((L199*J197+1.3*L199*N197+S199*G197),4)</f>
        <v>9.33</v>
      </c>
      <c r="X199" s="30">
        <f>ROUND((M199*0.9*J197+1.3*M199*0.9*N197+S199*G197),4)</f>
        <v>10.194000000000001</v>
      </c>
      <c r="Y199" s="30">
        <f>ROUND((M199*J197+1.3*M199*N197+S199*G197),4)</f>
        <v>11.22</v>
      </c>
      <c r="Z199" s="257">
        <f>ROUND((P197*T199*F197*O197/1000000),4)</f>
        <v>1.0972999999999999</v>
      </c>
      <c r="AA199" s="257">
        <f>ROUND((Q197*U199*F197*O197/1000000),4)</f>
        <v>0.60509999999999997</v>
      </c>
      <c r="AB199" s="257">
        <f>ROUND((R197*V199*F197*O197/1000000),4)</f>
        <v>0.67210000000000003</v>
      </c>
      <c r="AC199" s="258" t="s">
        <v>547</v>
      </c>
      <c r="AD199" s="259" t="s">
        <v>169</v>
      </c>
      <c r="AE199" s="34">
        <f>ROUND((((X199*E197)/1800)),4)</f>
        <v>1.1299999999999999E-2</v>
      </c>
      <c r="AF199" s="34">
        <f>ROUND(((Z199+AA199+AB199)),5)</f>
        <v>2.3744999999999998</v>
      </c>
    </row>
    <row r="200" spans="1:34" s="61" customFormat="1" ht="15" customHeight="1" x14ac:dyDescent="0.25">
      <c r="A200" s="260"/>
      <c r="B200" s="261"/>
      <c r="C200" s="261"/>
      <c r="D200" s="32"/>
      <c r="E200" s="32"/>
      <c r="F200" s="32"/>
      <c r="G200" s="32"/>
      <c r="H200" s="32"/>
      <c r="I200" s="32"/>
      <c r="J200" s="32"/>
      <c r="K200" s="32"/>
      <c r="L200" s="34">
        <v>0.71</v>
      </c>
      <c r="M200" s="34">
        <v>0.85</v>
      </c>
      <c r="N200" s="32"/>
      <c r="O200" s="32"/>
      <c r="P200" s="32"/>
      <c r="Q200" s="32"/>
      <c r="R200" s="32"/>
      <c r="S200" s="271">
        <v>0.49</v>
      </c>
      <c r="T200" s="30">
        <f>ROUND((L200*I197+1.3*L200*K197+S200*H197),4)</f>
        <v>6988.2165000000005</v>
      </c>
      <c r="U200" s="30">
        <f>ROUND((M200*0.9*I197+1.3*M200*0.9*K197+S200*H197),4)</f>
        <v>7527.2798000000003</v>
      </c>
      <c r="V200" s="30">
        <f>ROUND((M200*I197+1.3*M200*K197+S200*H197),4)</f>
        <v>8360.3775000000005</v>
      </c>
      <c r="W200" s="30">
        <f>ROUND((L200*J197+1.3*L200*N197+S200*G197),4)</f>
        <v>22.11</v>
      </c>
      <c r="X200" s="30">
        <f>ROUND((M200*0.9*J197+1.3*M200*0.9*N197+S200*G197),4)</f>
        <v>23.594999999999999</v>
      </c>
      <c r="Y200" s="30">
        <f>ROUND((M200*J197+1.3*N197+S200*G197),4)</f>
        <v>27.84</v>
      </c>
      <c r="Z200" s="257">
        <f>ROUND((P197*T200*F197*O197/1000000),4)</f>
        <v>2.5158</v>
      </c>
      <c r="AA200" s="257">
        <f>ROUND((Q197*U200*F197*O197/1000000),4)</f>
        <v>1.3549</v>
      </c>
      <c r="AB200" s="257">
        <f>ROUND((R197*V200*F197*O197/1000000),4)</f>
        <v>1.5048999999999999</v>
      </c>
      <c r="AC200" s="258" t="s">
        <v>548</v>
      </c>
      <c r="AD200" s="259" t="s">
        <v>549</v>
      </c>
      <c r="AE200" s="34">
        <f>ROUND((((X200*E197)/1800)),4)</f>
        <v>2.6200000000000001E-2</v>
      </c>
      <c r="AF200" s="34">
        <f>ROUND(((Z200+AA200+AB200)),4)</f>
        <v>5.3756000000000004</v>
      </c>
    </row>
    <row r="201" spans="1:34" s="61" customFormat="1" ht="15" customHeight="1" x14ac:dyDescent="0.25">
      <c r="A201" s="260"/>
      <c r="B201" s="261"/>
      <c r="C201" s="261"/>
      <c r="D201" s="32"/>
      <c r="E201" s="32"/>
      <c r="F201" s="32"/>
      <c r="G201" s="32"/>
      <c r="H201" s="32"/>
      <c r="I201" s="32"/>
      <c r="J201" s="32"/>
      <c r="K201" s="32"/>
      <c r="L201" s="34">
        <v>0.45</v>
      </c>
      <c r="M201" s="34">
        <v>0.67</v>
      </c>
      <c r="N201" s="32"/>
      <c r="O201" s="32"/>
      <c r="P201" s="32"/>
      <c r="Q201" s="32"/>
      <c r="R201" s="32"/>
      <c r="S201" s="271">
        <v>0.1</v>
      </c>
      <c r="T201" s="30">
        <f>ROUND((L201*I197+1.3*L201*K197+S201*H197),4)</f>
        <v>4416.5174999999999</v>
      </c>
      <c r="U201" s="30">
        <f>ROUND((M201*0.9*I197+1.3*M201*0.9*K197+S201*H197),4)</f>
        <v>5916.0934999999999</v>
      </c>
      <c r="V201" s="30">
        <f>ROUND((M201*I197+1.3*M201*K197+S201*H197),4)</f>
        <v>6572.7704999999996</v>
      </c>
      <c r="W201" s="30">
        <f>ROUND((L201*J197+1.3*L201*N197+S201*G197),4)</f>
        <v>12.75</v>
      </c>
      <c r="X201" s="30">
        <f>ROUND((M201*0.9*J197+1.3*M201*0.9*N197+S201*G197),4)</f>
        <v>16.881</v>
      </c>
      <c r="Y201" s="30">
        <f>ROUND((M201*J197+1.3*M201*N197+S201*G197),4)</f>
        <v>18.690000000000001</v>
      </c>
      <c r="Z201" s="257">
        <f>ROUND((P197*T201*F197*O197/1000000),4)</f>
        <v>1.5899000000000001</v>
      </c>
      <c r="AA201" s="257">
        <f>ROUND((Q197*U201*F197*O197/1000000),4)</f>
        <v>1.0649</v>
      </c>
      <c r="AB201" s="257">
        <f>ROUND((R197*V201*F197*O197/1000000),4)</f>
        <v>1.1831</v>
      </c>
      <c r="AC201" s="258" t="s">
        <v>172</v>
      </c>
      <c r="AD201" s="259" t="s">
        <v>173</v>
      </c>
      <c r="AE201" s="34">
        <f>ROUND((((X201*E197)/1800)),4)</f>
        <v>1.8800000000000001E-2</v>
      </c>
      <c r="AF201" s="34">
        <f>ROUND(((Z201+AA201+AB201)),4)</f>
        <v>3.8378999999999999</v>
      </c>
    </row>
    <row r="202" spans="1:34" s="61" customFormat="1" ht="15" customHeight="1" x14ac:dyDescent="0.25">
      <c r="A202" s="260"/>
      <c r="B202" s="272"/>
      <c r="C202" s="272"/>
      <c r="D202" s="265"/>
      <c r="E202" s="265"/>
      <c r="F202" s="265"/>
      <c r="G202" s="265"/>
      <c r="H202" s="265"/>
      <c r="I202" s="265"/>
      <c r="J202" s="265"/>
      <c r="K202" s="265"/>
      <c r="L202" s="34">
        <v>2.09</v>
      </c>
      <c r="M202" s="34">
        <v>2.5499999999999998</v>
      </c>
      <c r="N202" s="265"/>
      <c r="O202" s="265"/>
      <c r="P202" s="265"/>
      <c r="Q202" s="265"/>
      <c r="R202" s="265"/>
      <c r="S202" s="271">
        <v>3.91</v>
      </c>
      <c r="T202" s="30">
        <f>ROUND((L202*I197+1.3*L202*K197+S202*H197),4)</f>
        <v>20719.003499999999</v>
      </c>
      <c r="U202" s="30">
        <f>ROUND((M202*0.9*I197+1.3*M202*0.9*K197+S202*H197),4)</f>
        <v>22728.239300000001</v>
      </c>
      <c r="V202" s="30">
        <f>ROUND((M202*I197+1.3*M202*K197+S202*H197),4)</f>
        <v>25227.532500000001</v>
      </c>
      <c r="W202" s="30">
        <f>ROUND((L202*J197+1.3*L202*N197+S202*G197),4)</f>
        <v>79.89</v>
      </c>
      <c r="X202" s="30">
        <f>ROUND((M202*0.9*J197+1.3*M202*0.9*N197+S202*G197),4)</f>
        <v>85.424999999999997</v>
      </c>
      <c r="Y202" s="30">
        <f>ROUND((M202*J197+1.3*M202*N197+S202*G197),4)</f>
        <v>92.31</v>
      </c>
      <c r="Z202" s="257">
        <f>ROUND((P197*T202*F197*O197/1000000),4)</f>
        <v>7.4588000000000001</v>
      </c>
      <c r="AA202" s="257">
        <f>ROUND((Q197*U202*F197*O197/1000000),4)</f>
        <v>4.0911</v>
      </c>
      <c r="AB202" s="257">
        <f>ROUND((R197*V202*F197*O197/1000000),4)</f>
        <v>4.5410000000000004</v>
      </c>
      <c r="AC202" s="258" t="s">
        <v>157</v>
      </c>
      <c r="AD202" s="259" t="s">
        <v>153</v>
      </c>
      <c r="AE202" s="34">
        <f>ROUND((((X202*E197)/1800)),4)</f>
        <v>9.4899999999999998E-2</v>
      </c>
      <c r="AF202" s="34">
        <f>ROUND(((Z202+AA202+AB202)),4)</f>
        <v>16.090900000000001</v>
      </c>
    </row>
    <row r="203" spans="1:34" s="61" customFormat="1" ht="15" customHeight="1" x14ac:dyDescent="0.25">
      <c r="A203" s="260"/>
      <c r="B203" s="255" t="s">
        <v>554</v>
      </c>
      <c r="C203" s="255">
        <v>5</v>
      </c>
      <c r="D203" s="30" t="s">
        <v>552</v>
      </c>
      <c r="E203" s="30">
        <v>1</v>
      </c>
      <c r="F203" s="30">
        <v>1</v>
      </c>
      <c r="G203" s="30">
        <v>6</v>
      </c>
      <c r="H203" s="30">
        <v>60</v>
      </c>
      <c r="I203" s="30">
        <f>(8-1-0.75*2)*60*F203-K203-8*0.12*60</f>
        <v>57.900000000000006</v>
      </c>
      <c r="J203" s="30">
        <v>14</v>
      </c>
      <c r="K203" s="30">
        <f>(8-1-0.75*2)*0.65*60*F203</f>
        <v>214.5</v>
      </c>
      <c r="L203" s="30">
        <v>4.01</v>
      </c>
      <c r="M203" s="30">
        <v>4.01</v>
      </c>
      <c r="N203" s="30">
        <v>10</v>
      </c>
      <c r="O203" s="30">
        <f>E203/F203</f>
        <v>1</v>
      </c>
      <c r="P203" s="30">
        <v>180</v>
      </c>
      <c r="Q203" s="30">
        <v>90</v>
      </c>
      <c r="R203" s="256">
        <v>90</v>
      </c>
      <c r="S203" s="256">
        <v>0.78</v>
      </c>
      <c r="T203" s="30">
        <f>ROUND((L203*I203+1.3*L203*K203+S203*H203),4)</f>
        <v>1397.1675</v>
      </c>
      <c r="U203" s="30">
        <f>ROUND((M203*I203+1.3*M203*K203+S203*H203),4)</f>
        <v>1397.1675</v>
      </c>
      <c r="V203" s="30">
        <f>ROUND((M203*I203+1.3*M203*K203+S203*H203),4)</f>
        <v>1397.1675</v>
      </c>
      <c r="W203" s="30">
        <f>ROUND((L203*J203+1.3*L203*N203+S203*G203),4)</f>
        <v>112.95</v>
      </c>
      <c r="X203" s="30">
        <f>ROUND((M203*J203+1.3*M203*N203+S203*G203),4)</f>
        <v>112.95</v>
      </c>
      <c r="Y203" s="30">
        <f>ROUND((M203*J203+1.3*M203*N203+S203*G203),4)</f>
        <v>112.95</v>
      </c>
      <c r="Z203" s="257">
        <f>ROUND((P203*T203*F203*O203/1000000),4)</f>
        <v>0.2515</v>
      </c>
      <c r="AA203" s="257">
        <f>ROUND((Q203*U203*F203*O203/1000000),4)</f>
        <v>0.12570000000000001</v>
      </c>
      <c r="AB203" s="257">
        <f>ROUND((R203*V203*F203*O203/1000000),4)</f>
        <v>0.12570000000000001</v>
      </c>
      <c r="AC203" s="258" t="s">
        <v>165</v>
      </c>
      <c r="AD203" s="259" t="s">
        <v>144</v>
      </c>
      <c r="AE203" s="34">
        <f>ROUND((((X203*E203)/1800)*0.8),4)</f>
        <v>5.0200000000000002E-2</v>
      </c>
      <c r="AF203" s="34">
        <f>ROUND(((Z203+AA203+AB203)*0.8),4)</f>
        <v>0.40229999999999999</v>
      </c>
      <c r="AG203" s="254"/>
      <c r="AH203" s="254"/>
    </row>
    <row r="204" spans="1:34" s="61" customFormat="1" ht="15" customHeight="1" x14ac:dyDescent="0.25">
      <c r="A204" s="260"/>
      <c r="B204" s="267" t="s">
        <v>555</v>
      </c>
      <c r="C204" s="261"/>
      <c r="D204" s="32"/>
      <c r="E204" s="32"/>
      <c r="F204" s="32"/>
      <c r="G204" s="32"/>
      <c r="H204" s="32"/>
      <c r="I204" s="32"/>
      <c r="J204" s="32"/>
      <c r="K204" s="32"/>
      <c r="L204" s="265"/>
      <c r="M204" s="265"/>
      <c r="N204" s="32"/>
      <c r="O204" s="32"/>
      <c r="P204" s="32"/>
      <c r="Q204" s="32"/>
      <c r="R204" s="32"/>
      <c r="S204" s="268"/>
      <c r="T204" s="32"/>
      <c r="U204" s="32"/>
      <c r="V204" s="32"/>
      <c r="W204" s="32"/>
      <c r="X204" s="32"/>
      <c r="Y204" s="32"/>
      <c r="Z204" s="32"/>
      <c r="AA204" s="32"/>
      <c r="AB204" s="32"/>
      <c r="AC204" s="258" t="s">
        <v>166</v>
      </c>
      <c r="AD204" s="259" t="s">
        <v>167</v>
      </c>
      <c r="AE204" s="34">
        <f>ROUND((((X203*E203)/1800)*0.13),4)</f>
        <v>8.2000000000000007E-3</v>
      </c>
      <c r="AF204" s="34">
        <f>ROUND(((Z203+AA203+AB203)*0.13),4)</f>
        <v>6.54E-2</v>
      </c>
      <c r="AG204" s="254"/>
      <c r="AH204" s="254"/>
    </row>
    <row r="205" spans="1:34" s="61" customFormat="1" ht="15" customHeight="1" x14ac:dyDescent="0.25">
      <c r="A205" s="260"/>
      <c r="B205" s="261"/>
      <c r="C205" s="269"/>
      <c r="D205" s="263"/>
      <c r="E205" s="32"/>
      <c r="F205" s="32"/>
      <c r="G205" s="32"/>
      <c r="H205" s="32"/>
      <c r="I205" s="32"/>
      <c r="J205" s="32"/>
      <c r="K205" s="32"/>
      <c r="L205" s="34">
        <v>0.31</v>
      </c>
      <c r="M205" s="34">
        <v>0.38</v>
      </c>
      <c r="N205" s="32"/>
      <c r="O205" s="32"/>
      <c r="P205" s="32"/>
      <c r="Q205" s="32"/>
      <c r="R205" s="32"/>
      <c r="S205" s="270">
        <v>0.16</v>
      </c>
      <c r="T205" s="30">
        <f>ROUND((L205*I203+1.3*L205*K203+S205*H203),4)</f>
        <v>113.99250000000001</v>
      </c>
      <c r="U205" s="30">
        <f>ROUND((M205*0.9*I203+1.3*M205*0.9*K203+S205*H203),4)</f>
        <v>124.7685</v>
      </c>
      <c r="V205" s="30">
        <f>ROUND((M205*I203+1.3*M205*K203+S205*H203),4)</f>
        <v>137.565</v>
      </c>
      <c r="W205" s="30">
        <f>ROUND((L205*J203+1.3*L205*N203+S205*G203),4)</f>
        <v>9.33</v>
      </c>
      <c r="X205" s="30">
        <f>ROUND((M205*0.9*J203+1.3*M205*0.9*N203+S205*G203),4)</f>
        <v>10.194000000000001</v>
      </c>
      <c r="Y205" s="30">
        <f>ROUND((M205*J203+1.3*M205*N203+S205*G203),4)</f>
        <v>11.22</v>
      </c>
      <c r="Z205" s="257">
        <f>ROUND((P203*T205*F203*O203/1000000),4)</f>
        <v>2.0500000000000001E-2</v>
      </c>
      <c r="AA205" s="257">
        <f>ROUND((Q203*U205*F203*O203/1000000),4)</f>
        <v>1.12E-2</v>
      </c>
      <c r="AB205" s="257">
        <f>ROUND((R203*V205*F203*O203/1000000),4)</f>
        <v>1.24E-2</v>
      </c>
      <c r="AC205" s="258" t="s">
        <v>547</v>
      </c>
      <c r="AD205" s="259" t="s">
        <v>169</v>
      </c>
      <c r="AE205" s="34">
        <f>ROUND((((X205*E203)/1800)),4)</f>
        <v>5.7000000000000002E-3</v>
      </c>
      <c r="AF205" s="34">
        <f>ROUND(((Z205+AA205+AB205)),5)</f>
        <v>4.41E-2</v>
      </c>
      <c r="AG205" s="254"/>
      <c r="AH205" s="254"/>
    </row>
    <row r="206" spans="1:34" s="61" customFormat="1" ht="15" customHeight="1" x14ac:dyDescent="0.25">
      <c r="A206" s="260"/>
      <c r="B206" s="261"/>
      <c r="C206" s="261"/>
      <c r="D206" s="32"/>
      <c r="E206" s="32"/>
      <c r="F206" s="32"/>
      <c r="G206" s="32"/>
      <c r="H206" s="32"/>
      <c r="I206" s="32"/>
      <c r="J206" s="32"/>
      <c r="K206" s="32"/>
      <c r="L206" s="34">
        <v>0.71</v>
      </c>
      <c r="M206" s="34">
        <v>0.85</v>
      </c>
      <c r="N206" s="32"/>
      <c r="O206" s="32"/>
      <c r="P206" s="32"/>
      <c r="Q206" s="32"/>
      <c r="R206" s="32"/>
      <c r="S206" s="271">
        <v>0.49</v>
      </c>
      <c r="T206" s="30">
        <f>ROUND((L206*I203+1.3*L206*K203+S206*H203),4)</f>
        <v>268.49250000000001</v>
      </c>
      <c r="U206" s="30">
        <f>ROUND((M206*0.9*I203+1.3*M206*0.9*K203+S206*H203),4)</f>
        <v>287.0138</v>
      </c>
      <c r="V206" s="30">
        <f>ROUND((M206*I203+1.3*M206*K203+S206*H203),4)</f>
        <v>315.63749999999999</v>
      </c>
      <c r="W206" s="30">
        <f>ROUND((L206*J203+1.3*L206*N203+S206*G203),4)</f>
        <v>22.11</v>
      </c>
      <c r="X206" s="30">
        <f>ROUND((M206*0.9*J203+1.3*M206*0.9*N203+S206*G203),4)</f>
        <v>23.594999999999999</v>
      </c>
      <c r="Y206" s="30">
        <f>ROUND((M206*J203+1.3*N203+S206*G203),4)</f>
        <v>27.84</v>
      </c>
      <c r="Z206" s="257">
        <f>ROUND((P203*T206*F203*O203/1000000),4)</f>
        <v>4.8300000000000003E-2</v>
      </c>
      <c r="AA206" s="257">
        <f>ROUND((Q203*U206*F203*O203/1000000),4)</f>
        <v>2.58E-2</v>
      </c>
      <c r="AB206" s="257">
        <f>ROUND((R203*V206*F203*O203/1000000),4)</f>
        <v>2.8400000000000002E-2</v>
      </c>
      <c r="AC206" s="258" t="s">
        <v>548</v>
      </c>
      <c r="AD206" s="259" t="s">
        <v>549</v>
      </c>
      <c r="AE206" s="34">
        <f>ROUND((((X206*E203)/1800)),4)</f>
        <v>1.3100000000000001E-2</v>
      </c>
      <c r="AF206" s="34">
        <f>ROUND(((Z206+AA206+AB206)),4)</f>
        <v>0.10249999999999999</v>
      </c>
      <c r="AG206" s="254"/>
      <c r="AH206" s="254"/>
    </row>
    <row r="207" spans="1:34" s="61" customFormat="1" ht="15" customHeight="1" x14ac:dyDescent="0.25">
      <c r="A207" s="260"/>
      <c r="B207" s="261"/>
      <c r="C207" s="261"/>
      <c r="D207" s="32"/>
      <c r="E207" s="32"/>
      <c r="F207" s="32"/>
      <c r="G207" s="32"/>
      <c r="H207" s="32"/>
      <c r="I207" s="32"/>
      <c r="J207" s="32"/>
      <c r="K207" s="32"/>
      <c r="L207" s="34">
        <v>0.45</v>
      </c>
      <c r="M207" s="34">
        <v>0.67</v>
      </c>
      <c r="N207" s="32"/>
      <c r="O207" s="32"/>
      <c r="P207" s="32"/>
      <c r="Q207" s="32"/>
      <c r="R207" s="32"/>
      <c r="S207" s="271">
        <v>0.1</v>
      </c>
      <c r="T207" s="30">
        <f>ROUND((L207*I203+1.3*L207*K203+S207*H203),4)</f>
        <v>157.53749999999999</v>
      </c>
      <c r="U207" s="30">
        <f>ROUND((M207*0.9*I203+1.3*M207*0.9*K203+S207*H203),4)</f>
        <v>209.06030000000001</v>
      </c>
      <c r="V207" s="30">
        <f>ROUND((M207*I203+1.3*M207*K203+S207*H203),4)</f>
        <v>231.6225</v>
      </c>
      <c r="W207" s="30">
        <f>ROUND((L207*J203+1.3*L207*N203+S207*G203),4)</f>
        <v>12.75</v>
      </c>
      <c r="X207" s="30">
        <f>ROUND((M207*0.9*J203+1.3*M207*0.9*N203+S207*G203),4)</f>
        <v>16.881</v>
      </c>
      <c r="Y207" s="30">
        <f>ROUND((M207*J203+1.3*M207*N203+S207*G203),4)</f>
        <v>18.690000000000001</v>
      </c>
      <c r="Z207" s="257">
        <f>ROUND((P203*T207*F203*O203/1000000),4)</f>
        <v>2.8400000000000002E-2</v>
      </c>
      <c r="AA207" s="257">
        <f>ROUND((Q203*U207*F203*O203/1000000),4)</f>
        <v>1.8800000000000001E-2</v>
      </c>
      <c r="AB207" s="257">
        <f>ROUND((R203*V207*F203*O203/1000000),4)</f>
        <v>2.0799999999999999E-2</v>
      </c>
      <c r="AC207" s="258" t="s">
        <v>172</v>
      </c>
      <c r="AD207" s="259" t="s">
        <v>173</v>
      </c>
      <c r="AE207" s="34">
        <f>ROUND((((X207*E203)/1800)),4)</f>
        <v>9.4000000000000004E-3</v>
      </c>
      <c r="AF207" s="34">
        <f>ROUND(((Z207+AA207+AB207)),4)</f>
        <v>6.8000000000000005E-2</v>
      </c>
      <c r="AG207" s="254"/>
      <c r="AH207" s="254"/>
    </row>
    <row r="208" spans="1:34" s="61" customFormat="1" ht="15" customHeight="1" x14ac:dyDescent="0.25">
      <c r="A208" s="260"/>
      <c r="B208" s="272"/>
      <c r="C208" s="272"/>
      <c r="D208" s="265"/>
      <c r="E208" s="265"/>
      <c r="F208" s="265"/>
      <c r="G208" s="265"/>
      <c r="H208" s="265"/>
      <c r="I208" s="265"/>
      <c r="J208" s="265"/>
      <c r="K208" s="265"/>
      <c r="L208" s="34">
        <v>2.09</v>
      </c>
      <c r="M208" s="34">
        <v>2.5499999999999998</v>
      </c>
      <c r="N208" s="265"/>
      <c r="O208" s="265"/>
      <c r="P208" s="265"/>
      <c r="Q208" s="265"/>
      <c r="R208" s="265"/>
      <c r="S208" s="271">
        <v>3.91</v>
      </c>
      <c r="T208" s="30">
        <f>ROUND((L208*I203+1.3*L208*K203+S208*H203),4)</f>
        <v>938.40750000000003</v>
      </c>
      <c r="U208" s="30">
        <f>ROUND((M208*0.9*I203+1.3*M208*0.9*K203+S208*H203),4)</f>
        <v>1007.4413</v>
      </c>
      <c r="V208" s="30">
        <f>ROUND((M208*I203+1.3*M208*K203+S208*H203),4)</f>
        <v>1093.3125</v>
      </c>
      <c r="W208" s="30">
        <f>ROUND((L208*J203+1.3*L208*N203+S208*G203),4)</f>
        <v>79.89</v>
      </c>
      <c r="X208" s="30">
        <f>ROUND((M208*0.9*J203+1.3*M208*0.9*N203+S208*G203),4)</f>
        <v>85.424999999999997</v>
      </c>
      <c r="Y208" s="30">
        <f>ROUND((M208*J203+1.3*M208*N203+S208*G203),4)</f>
        <v>92.31</v>
      </c>
      <c r="Z208" s="257">
        <f>ROUND((P203*T208*F203*O203/1000000),4)</f>
        <v>0.16889999999999999</v>
      </c>
      <c r="AA208" s="257">
        <f>ROUND((Q203*U208*F203*O203/1000000),4)</f>
        <v>9.0700000000000003E-2</v>
      </c>
      <c r="AB208" s="257">
        <f>ROUND((R203*V208*F203*O203/1000000),4)</f>
        <v>9.8400000000000001E-2</v>
      </c>
      <c r="AC208" s="258" t="s">
        <v>157</v>
      </c>
      <c r="AD208" s="259" t="s">
        <v>153</v>
      </c>
      <c r="AE208" s="34">
        <f>ROUND((((X208*E203)/1800)),4)</f>
        <v>4.7500000000000001E-2</v>
      </c>
      <c r="AF208" s="34">
        <f>ROUND(((Z208+AA208+AB208)),4)</f>
        <v>0.35799999999999998</v>
      </c>
      <c r="AG208" s="254"/>
      <c r="AH208" s="254"/>
    </row>
    <row r="209" spans="1:34" s="61" customFormat="1" ht="15" customHeight="1" x14ac:dyDescent="0.25">
      <c r="A209" s="32"/>
      <c r="B209" s="255" t="s">
        <v>551</v>
      </c>
      <c r="C209" s="255">
        <v>6</v>
      </c>
      <c r="D209" s="30" t="s">
        <v>556</v>
      </c>
      <c r="E209" s="30">
        <v>1</v>
      </c>
      <c r="F209" s="30">
        <v>16</v>
      </c>
      <c r="G209" s="30">
        <v>6</v>
      </c>
      <c r="H209" s="30">
        <v>60</v>
      </c>
      <c r="I209" s="30">
        <f>(8-1-0.75*2)*60*F209-K209-8*0.12*60</f>
        <v>1790.4</v>
      </c>
      <c r="J209" s="30">
        <v>14</v>
      </c>
      <c r="K209" s="30">
        <f>(8-1-0.75*2)*0.65*60*F209</f>
        <v>3432</v>
      </c>
      <c r="L209" s="30">
        <v>6.47</v>
      </c>
      <c r="M209" s="30">
        <v>6.47</v>
      </c>
      <c r="N209" s="30">
        <v>10</v>
      </c>
      <c r="O209" s="30">
        <f>E209/F209</f>
        <v>6.25E-2</v>
      </c>
      <c r="P209" s="30">
        <v>180</v>
      </c>
      <c r="Q209" s="30">
        <v>90</v>
      </c>
      <c r="R209" s="256">
        <v>90</v>
      </c>
      <c r="S209" s="256">
        <v>1.27</v>
      </c>
      <c r="T209" s="30">
        <f>ROUND((L209*I209+1.3*L209*K209+S209*H209),4)</f>
        <v>40526.639999999999</v>
      </c>
      <c r="U209" s="30">
        <f>ROUND((M209*I209+1.3*M209*K209+S209*H209),4)</f>
        <v>40526.639999999999</v>
      </c>
      <c r="V209" s="30">
        <f>ROUND((M209*I209+1.3*M209*K209+S209*H209),4)</f>
        <v>40526.639999999999</v>
      </c>
      <c r="W209" s="30">
        <f>ROUND((L209*J209+1.3*L209*N209+S209*G209),4)</f>
        <v>182.31</v>
      </c>
      <c r="X209" s="30">
        <f>ROUND((M209*J209+1.3*M209*N209+S209*G209),4)</f>
        <v>182.31</v>
      </c>
      <c r="Y209" s="30">
        <f>ROUND((M209*J209+1.3*M209*N209+S209*G209),4)</f>
        <v>182.31</v>
      </c>
      <c r="Z209" s="257">
        <f>ROUND((P209*T209*F209*O209/1000000),4)</f>
        <v>7.2948000000000004</v>
      </c>
      <c r="AA209" s="257">
        <f>ROUND((Q209*U209*F209*O209/1000000),4)</f>
        <v>3.6474000000000002</v>
      </c>
      <c r="AB209" s="257">
        <f>ROUND((R209*V209*F209*O209/1000000),4)</f>
        <v>3.6474000000000002</v>
      </c>
      <c r="AC209" s="258" t="s">
        <v>165</v>
      </c>
      <c r="AD209" s="259" t="s">
        <v>144</v>
      </c>
      <c r="AE209" s="34">
        <f>ROUND((((X209*E209)/1800)*0.8),4)</f>
        <v>8.1000000000000003E-2</v>
      </c>
      <c r="AF209" s="34">
        <f>ROUND(((Z209+AA209+AB209)*0.8),4)</f>
        <v>11.6717</v>
      </c>
      <c r="AG209" s="254"/>
      <c r="AH209" s="254"/>
    </row>
    <row r="210" spans="1:34" s="61" customFormat="1" ht="15" customHeight="1" x14ac:dyDescent="0.25">
      <c r="A210" s="32"/>
      <c r="B210" s="261" t="s">
        <v>557</v>
      </c>
      <c r="C210" s="32"/>
      <c r="D210" s="32"/>
      <c r="E210" s="32"/>
      <c r="F210" s="32"/>
      <c r="G210" s="32"/>
      <c r="H210" s="32"/>
      <c r="I210" s="32"/>
      <c r="J210" s="32"/>
      <c r="K210" s="32"/>
      <c r="L210" s="265"/>
      <c r="M210" s="265"/>
      <c r="N210" s="32"/>
      <c r="O210" s="32"/>
      <c r="P210" s="32"/>
      <c r="Q210" s="32"/>
      <c r="R210" s="32"/>
      <c r="S210" s="268"/>
      <c r="T210" s="32"/>
      <c r="U210" s="32"/>
      <c r="V210" s="32"/>
      <c r="W210" s="32"/>
      <c r="X210" s="32"/>
      <c r="Y210" s="32"/>
      <c r="Z210" s="32"/>
      <c r="AA210" s="32"/>
      <c r="AB210" s="32"/>
      <c r="AC210" s="258" t="s">
        <v>166</v>
      </c>
      <c r="AD210" s="259" t="s">
        <v>167</v>
      </c>
      <c r="AE210" s="34">
        <f>ROUND((((X209*E209)/1800)*0.13),4)</f>
        <v>1.32E-2</v>
      </c>
      <c r="AF210" s="34">
        <f>ROUND(((Z209+AA209+AB209)*0.13),4)</f>
        <v>1.8966000000000001</v>
      </c>
      <c r="AG210" s="254"/>
      <c r="AH210" s="254"/>
    </row>
    <row r="211" spans="1:34" s="61" customFormat="1" ht="15" customHeight="1" x14ac:dyDescent="0.25">
      <c r="A211" s="32"/>
      <c r="B211" s="273"/>
      <c r="C211" s="263"/>
      <c r="D211" s="263"/>
      <c r="E211" s="32"/>
      <c r="F211" s="32"/>
      <c r="G211" s="32"/>
      <c r="H211" s="32"/>
      <c r="I211" s="32"/>
      <c r="J211" s="32"/>
      <c r="K211" s="32"/>
      <c r="L211" s="34">
        <v>0.51</v>
      </c>
      <c r="M211" s="34">
        <v>0.63</v>
      </c>
      <c r="N211" s="32"/>
      <c r="O211" s="32"/>
      <c r="P211" s="32"/>
      <c r="Q211" s="32"/>
      <c r="R211" s="32"/>
      <c r="S211" s="270">
        <v>0.25</v>
      </c>
      <c r="T211" s="30">
        <f>ROUND((L211*I209+1.3*L211*K209+S211*H209),4)</f>
        <v>3203.52</v>
      </c>
      <c r="U211" s="30">
        <f>ROUND((M211*0.9*I209+1.3*M211*0.9*K209+S211*H209),4)</f>
        <v>3559.884</v>
      </c>
      <c r="V211" s="30">
        <f>ROUND((M211*I209+1.3*M211*K209+S211*H209),4)</f>
        <v>3953.76</v>
      </c>
      <c r="W211" s="30">
        <f>ROUND((L211*J209+1.3*L211*N209+S211*G209),4)</f>
        <v>15.27</v>
      </c>
      <c r="X211" s="30">
        <f>ROUND((M211*0.9*J209+1.3*M211*0.9*N209+S211*G209),4)</f>
        <v>16.809000000000001</v>
      </c>
      <c r="Y211" s="30">
        <f>ROUND((M211*J209+1.3*M211*N209+S211*G209),4)</f>
        <v>18.510000000000002</v>
      </c>
      <c r="Z211" s="257">
        <f>ROUND((P209*T211*F209*O209/1000000),4)</f>
        <v>0.5766</v>
      </c>
      <c r="AA211" s="257">
        <f>ROUND((Q209*U211*F209*O209/1000000),4)</f>
        <v>0.32040000000000002</v>
      </c>
      <c r="AB211" s="257">
        <f>ROUND((R209*V211*F209*O209/1000000),4)</f>
        <v>0.35580000000000001</v>
      </c>
      <c r="AC211" s="258" t="s">
        <v>547</v>
      </c>
      <c r="AD211" s="259" t="s">
        <v>169</v>
      </c>
      <c r="AE211" s="34">
        <f>ROUND((((X211*E209)/1800)),4)</f>
        <v>9.2999999999999992E-3</v>
      </c>
      <c r="AF211" s="34">
        <f>ROUND(((Z211+AA211+AB211)),5)</f>
        <v>1.2527999999999999</v>
      </c>
      <c r="AG211" s="254"/>
      <c r="AH211" s="254"/>
    </row>
    <row r="212" spans="1:34" s="61" customFormat="1" ht="15" customHeight="1" x14ac:dyDescent="0.25">
      <c r="A212" s="32"/>
      <c r="B212" s="261"/>
      <c r="C212" s="32"/>
      <c r="D212" s="32"/>
      <c r="E212" s="32"/>
      <c r="F212" s="32"/>
      <c r="G212" s="32"/>
      <c r="H212" s="32"/>
      <c r="I212" s="32"/>
      <c r="J212" s="32"/>
      <c r="K212" s="32"/>
      <c r="L212" s="34">
        <v>1.1399999999999999</v>
      </c>
      <c r="M212" s="34">
        <v>1.37</v>
      </c>
      <c r="N212" s="32"/>
      <c r="O212" s="32"/>
      <c r="P212" s="32"/>
      <c r="Q212" s="32"/>
      <c r="R212" s="32"/>
      <c r="S212" s="271">
        <v>0.79</v>
      </c>
      <c r="T212" s="30">
        <f>ROUND((L212*I209+1.3*L212*K209+S212*H209),4)</f>
        <v>7174.68</v>
      </c>
      <c r="U212" s="30">
        <f>ROUND((M212*0.9*I209+1.3*M212*0.9*K209+S212*H209),4)</f>
        <v>7756.116</v>
      </c>
      <c r="V212" s="30">
        <f>ROUND((M212*I209+1.3*M212*K209+S212*H209),4)</f>
        <v>8612.64</v>
      </c>
      <c r="W212" s="30">
        <f>ROUND((L212*J209+1.3*L212*N209+S212*G209),4)</f>
        <v>35.520000000000003</v>
      </c>
      <c r="X212" s="30">
        <f>ROUND((M212*0.9*J209+1.3*M212*0.9*N209+S212*G209),4)</f>
        <v>38.030999999999999</v>
      </c>
      <c r="Y212" s="30">
        <f>ROUND((M212*J209+1.3*N209+S212*G209),4)</f>
        <v>36.92</v>
      </c>
      <c r="Z212" s="257">
        <f>ROUND((P209*T212*F209*O209/1000000),4)</f>
        <v>1.2914000000000001</v>
      </c>
      <c r="AA212" s="257">
        <f>ROUND((Q209*U212*F209*O209/1000000),4)</f>
        <v>0.69810000000000005</v>
      </c>
      <c r="AB212" s="257">
        <f>ROUND((R209*V212*F209*O209/1000000),4)</f>
        <v>0.77510000000000001</v>
      </c>
      <c r="AC212" s="258" t="s">
        <v>548</v>
      </c>
      <c r="AD212" s="259" t="s">
        <v>549</v>
      </c>
      <c r="AE212" s="34">
        <f>ROUND((((X212*E209)/1800)),4)</f>
        <v>2.1100000000000001E-2</v>
      </c>
      <c r="AF212" s="34">
        <f>ROUND(((Z212+AA212+AB212)),4)</f>
        <v>2.7646000000000002</v>
      </c>
      <c r="AG212" s="254"/>
      <c r="AH212" s="254"/>
    </row>
    <row r="213" spans="1:34" s="61" customFormat="1" ht="15" customHeight="1" x14ac:dyDescent="0.25">
      <c r="A213" s="32"/>
      <c r="B213" s="261"/>
      <c r="C213" s="32"/>
      <c r="D213" s="32"/>
      <c r="E213" s="32"/>
      <c r="F213" s="32"/>
      <c r="G213" s="32"/>
      <c r="H213" s="32"/>
      <c r="I213" s="32"/>
      <c r="J213" s="32"/>
      <c r="K213" s="32"/>
      <c r="L213" s="34">
        <v>0.72</v>
      </c>
      <c r="M213" s="34">
        <v>1.08</v>
      </c>
      <c r="N213" s="32"/>
      <c r="O213" s="32"/>
      <c r="P213" s="32"/>
      <c r="Q213" s="32"/>
      <c r="R213" s="32"/>
      <c r="S213" s="271">
        <v>0.17</v>
      </c>
      <c r="T213" s="30">
        <f>ROUND((L213*I209+1.3*L213*K209+S213*H209),4)</f>
        <v>4511.6400000000003</v>
      </c>
      <c r="U213" s="30">
        <f>ROUND((M213*0.9*I209+1.3*M213*0.9*K209+S213*H209),4)</f>
        <v>6087.1440000000002</v>
      </c>
      <c r="V213" s="30">
        <f>ROUND((M213*I209+1.3*M213*K209+S213*H209),4)</f>
        <v>6762.36</v>
      </c>
      <c r="W213" s="30">
        <f>ROUND((L213*J209+1.3*L213*N209+S213*G209),4)</f>
        <v>20.46</v>
      </c>
      <c r="X213" s="30">
        <f>ROUND((M213*0.9*J209+1.3*M213*0.9*N209+S213*G209),4)</f>
        <v>27.263999999999999</v>
      </c>
      <c r="Y213" s="30">
        <f>ROUND((M213*J209+1.3*M213*N209+S213*G209),4)</f>
        <v>30.18</v>
      </c>
      <c r="Z213" s="257">
        <f>ROUND((P209*T213*F209*O209/1000000),4)</f>
        <v>0.81210000000000004</v>
      </c>
      <c r="AA213" s="257">
        <f>ROUND((Q209*U213*F209*O209/1000000),4)</f>
        <v>0.54779999999999995</v>
      </c>
      <c r="AB213" s="257">
        <f>ROUND((R209*V213*F209*O209/1000000),4)</f>
        <v>0.60860000000000003</v>
      </c>
      <c r="AC213" s="258" t="s">
        <v>172</v>
      </c>
      <c r="AD213" s="259" t="s">
        <v>173</v>
      </c>
      <c r="AE213" s="34">
        <f>ROUND((((X213*E209)/1800)),4)</f>
        <v>1.5100000000000001E-2</v>
      </c>
      <c r="AF213" s="34">
        <f>ROUND(((Z213+AA213+AB213)),4)</f>
        <v>1.9684999999999999</v>
      </c>
      <c r="AG213" s="254"/>
      <c r="AH213" s="254"/>
    </row>
    <row r="214" spans="1:34" s="61" customFormat="1" ht="15" customHeight="1" x14ac:dyDescent="0.25">
      <c r="A214" s="32"/>
      <c r="B214" s="272"/>
      <c r="C214" s="265"/>
      <c r="D214" s="265"/>
      <c r="E214" s="265"/>
      <c r="F214" s="265"/>
      <c r="G214" s="265"/>
      <c r="H214" s="265"/>
      <c r="I214" s="265"/>
      <c r="J214" s="265"/>
      <c r="K214" s="265"/>
      <c r="L214" s="34">
        <v>3.37</v>
      </c>
      <c r="M214" s="34">
        <v>4.1100000000000003</v>
      </c>
      <c r="N214" s="265"/>
      <c r="O214" s="265"/>
      <c r="P214" s="265"/>
      <c r="Q214" s="265"/>
      <c r="R214" s="265"/>
      <c r="S214" s="271">
        <v>6.31</v>
      </c>
      <c r="T214" s="30">
        <f>ROUND((L214*I209+1.3*L214*K209+S214*H209),4)</f>
        <v>21447.84</v>
      </c>
      <c r="U214" s="30">
        <f>ROUND((M214*0.9*I209+1.3*M214*0.9*K209+S214*H209),4)</f>
        <v>23504.748</v>
      </c>
      <c r="V214" s="30">
        <f>ROUND((M214*I209+1.3*M214*K209+S214*H209),4)</f>
        <v>26074.32</v>
      </c>
      <c r="W214" s="30">
        <f>ROUND((L214*J209+1.3*L214*N209+S214*G209),4)</f>
        <v>128.85</v>
      </c>
      <c r="X214" s="30">
        <f>ROUND((M214*0.9*J209+1.3*M214*0.9*N209+S214*G209),4)</f>
        <v>137.733</v>
      </c>
      <c r="Y214" s="30">
        <f>ROUND((M214*J209+1.3*M214*N209+S214*G209),4)</f>
        <v>148.83000000000001</v>
      </c>
      <c r="Z214" s="257">
        <f>ROUND((P209*T214*F209*O209/1000000),4)</f>
        <v>3.8605999999999998</v>
      </c>
      <c r="AA214" s="257">
        <f>ROUND((Q209*U214*F209*O209/1000000),4)</f>
        <v>2.1154000000000002</v>
      </c>
      <c r="AB214" s="257">
        <f>ROUND((R209*V214*F209*O209/1000000),4)</f>
        <v>2.3466999999999998</v>
      </c>
      <c r="AC214" s="258" t="s">
        <v>157</v>
      </c>
      <c r="AD214" s="259" t="s">
        <v>153</v>
      </c>
      <c r="AE214" s="34">
        <f>ROUND((((X214*E209)/1800)),4)</f>
        <v>7.6499999999999999E-2</v>
      </c>
      <c r="AF214" s="34">
        <f>ROUND(((Z214+AA214+AB214)),4)</f>
        <v>8.3226999999999993</v>
      </c>
      <c r="AG214" s="254"/>
      <c r="AH214" s="254"/>
    </row>
    <row r="215" spans="1:34" s="61" customFormat="1" ht="15" customHeight="1" x14ac:dyDescent="0.25">
      <c r="A215" s="260"/>
      <c r="B215" s="273" t="s">
        <v>558</v>
      </c>
      <c r="C215" s="30">
        <v>6</v>
      </c>
      <c r="D215" s="30" t="s">
        <v>556</v>
      </c>
      <c r="E215" s="30">
        <v>2</v>
      </c>
      <c r="F215" s="30">
        <v>21</v>
      </c>
      <c r="G215" s="30">
        <v>6</v>
      </c>
      <c r="H215" s="30">
        <v>60</v>
      </c>
      <c r="I215" s="30">
        <f>(8-1-0.75*2)*60*F215-K215-8*0.12*60</f>
        <v>2367.9</v>
      </c>
      <c r="J215" s="30">
        <v>14</v>
      </c>
      <c r="K215" s="30">
        <f>(8-1-0.75*2)*0.65*60*F215</f>
        <v>4504.5</v>
      </c>
      <c r="L215" s="30">
        <v>6.47</v>
      </c>
      <c r="M215" s="30">
        <v>6.47</v>
      </c>
      <c r="N215" s="30">
        <v>10</v>
      </c>
      <c r="O215" s="30">
        <f>E215/F215</f>
        <v>9.5238095238095233E-2</v>
      </c>
      <c r="P215" s="30">
        <v>180</v>
      </c>
      <c r="Q215" s="30">
        <v>90</v>
      </c>
      <c r="R215" s="256">
        <v>90</v>
      </c>
      <c r="S215" s="256">
        <v>1.27</v>
      </c>
      <c r="T215" s="30">
        <f>ROUND((L215*I215+1.3*L215*K215+S215*H215),4)</f>
        <v>53283.862500000003</v>
      </c>
      <c r="U215" s="30">
        <f>ROUND((M215*I215+1.3*M215*K215+S215*H215),4)</f>
        <v>53283.862500000003</v>
      </c>
      <c r="V215" s="30">
        <f>ROUND((M215*I215+1.3*M215*K215+S215*H215),4)</f>
        <v>53283.862500000003</v>
      </c>
      <c r="W215" s="30">
        <f>ROUND((L215*J215+1.3*L215*N215+S215*G215),4)</f>
        <v>182.31</v>
      </c>
      <c r="X215" s="30">
        <f>ROUND((M215*J215+1.3*M215*N215+S215*G215),4)</f>
        <v>182.31</v>
      </c>
      <c r="Y215" s="30">
        <f>ROUND((M215*J215+1.3*M215*N215+S215*G215),4)</f>
        <v>182.31</v>
      </c>
      <c r="Z215" s="257">
        <f>ROUND((P215*T215*F215*O215/1000000),4)</f>
        <v>19.182200000000002</v>
      </c>
      <c r="AA215" s="257">
        <f>ROUND((Q215*U215*F215*O215/1000000),4)</f>
        <v>9.5911000000000008</v>
      </c>
      <c r="AB215" s="257">
        <f>ROUND((R215*V215*F215*O215/1000000),4)</f>
        <v>9.5911000000000008</v>
      </c>
      <c r="AC215" s="258" t="s">
        <v>165</v>
      </c>
      <c r="AD215" s="259" t="s">
        <v>144</v>
      </c>
      <c r="AE215" s="34">
        <f>ROUND((((X215*E215)/1800)*0.8),4)</f>
        <v>0.16209999999999999</v>
      </c>
      <c r="AF215" s="34">
        <f>ROUND(((Z215+AA215+AB215)*0.8),4)</f>
        <v>30.691500000000001</v>
      </c>
      <c r="AG215" s="254"/>
      <c r="AH215" s="254"/>
    </row>
    <row r="216" spans="1:34" s="61" customFormat="1" ht="15" customHeight="1" x14ac:dyDescent="0.25">
      <c r="A216" s="260"/>
      <c r="B216" s="261" t="s">
        <v>559</v>
      </c>
      <c r="C216" s="32"/>
      <c r="D216" s="32"/>
      <c r="E216" s="32"/>
      <c r="F216" s="32"/>
      <c r="G216" s="32"/>
      <c r="H216" s="32"/>
      <c r="I216" s="32"/>
      <c r="J216" s="32"/>
      <c r="K216" s="32"/>
      <c r="L216" s="265"/>
      <c r="M216" s="265"/>
      <c r="N216" s="32"/>
      <c r="O216" s="32"/>
      <c r="P216" s="32"/>
      <c r="Q216" s="32"/>
      <c r="R216" s="32"/>
      <c r="S216" s="268"/>
      <c r="T216" s="32"/>
      <c r="U216" s="32"/>
      <c r="V216" s="32"/>
      <c r="W216" s="32"/>
      <c r="X216" s="32"/>
      <c r="Y216" s="32"/>
      <c r="Z216" s="32"/>
      <c r="AA216" s="32"/>
      <c r="AB216" s="32"/>
      <c r="AC216" s="258" t="s">
        <v>166</v>
      </c>
      <c r="AD216" s="259" t="s">
        <v>167</v>
      </c>
      <c r="AE216" s="34">
        <f>ROUND((((X215*E215)/1800)*0.13),4)</f>
        <v>2.63E-2</v>
      </c>
      <c r="AF216" s="34">
        <f>ROUND(((Z215+AA215+AB215)*0.13),4)</f>
        <v>4.9874000000000001</v>
      </c>
      <c r="AG216" s="254"/>
      <c r="AH216" s="254"/>
    </row>
    <row r="217" spans="1:34" s="61" customFormat="1" ht="15" customHeight="1" x14ac:dyDescent="0.25">
      <c r="A217" s="260"/>
      <c r="C217" s="263"/>
      <c r="D217" s="263"/>
      <c r="E217" s="32"/>
      <c r="F217" s="32"/>
      <c r="G217" s="32"/>
      <c r="H217" s="32"/>
      <c r="I217" s="32"/>
      <c r="J217" s="32"/>
      <c r="K217" s="32"/>
      <c r="L217" s="34">
        <v>0.51</v>
      </c>
      <c r="M217" s="34">
        <v>0.63</v>
      </c>
      <c r="N217" s="32"/>
      <c r="O217" s="32"/>
      <c r="P217" s="32"/>
      <c r="Q217" s="32"/>
      <c r="R217" s="32"/>
      <c r="S217" s="270">
        <v>0.25</v>
      </c>
      <c r="T217" s="30">
        <f>ROUND((L217*I215+1.3*L217*K215+S217*H215),4)</f>
        <v>4209.1125000000002</v>
      </c>
      <c r="U217" s="30">
        <f>ROUND((M217*0.9*I215+1.3*M217*0.9*K215+S217*H215),4)</f>
        <v>4677.8662999999997</v>
      </c>
      <c r="V217" s="30">
        <f>ROUND((M217*I215+1.3*M217*K215+S217*H215),4)</f>
        <v>5195.9624999999996</v>
      </c>
      <c r="W217" s="30">
        <f>ROUND((L217*J215+1.3*L217*N215+S217*G215),4)</f>
        <v>15.27</v>
      </c>
      <c r="X217" s="30">
        <f>ROUND((M217*0.9*J215+1.3*M217*0.9*N215+S217*G215),4)</f>
        <v>16.809000000000001</v>
      </c>
      <c r="Y217" s="30">
        <f>ROUND((M217*J215+1.3*M217*N215+S217*G215),4)</f>
        <v>18.510000000000002</v>
      </c>
      <c r="Z217" s="257">
        <f>ROUND((P215*T217*F215*O215/1000000),4)</f>
        <v>1.5153000000000001</v>
      </c>
      <c r="AA217" s="257">
        <f>ROUND((Q215*U217*F215*O215/1000000),4)</f>
        <v>0.84199999999999997</v>
      </c>
      <c r="AB217" s="257">
        <f>ROUND((R215*V217*F215*O215/1000000),4)</f>
        <v>0.93530000000000002</v>
      </c>
      <c r="AC217" s="258" t="s">
        <v>547</v>
      </c>
      <c r="AD217" s="259" t="s">
        <v>169</v>
      </c>
      <c r="AE217" s="34">
        <f>ROUND((((X217*E215)/1800)),4)</f>
        <v>1.8700000000000001E-2</v>
      </c>
      <c r="AF217" s="34">
        <f>ROUND(((Z217+AA217+AB217)),5)</f>
        <v>3.2926000000000002</v>
      </c>
      <c r="AG217" s="254"/>
      <c r="AH217" s="254"/>
    </row>
    <row r="218" spans="1:34" s="61" customFormat="1" ht="15" customHeight="1" x14ac:dyDescent="0.25">
      <c r="A218" s="260"/>
      <c r="C218" s="32"/>
      <c r="D218" s="32"/>
      <c r="E218" s="32"/>
      <c r="F218" s="32"/>
      <c r="G218" s="32"/>
      <c r="H218" s="32"/>
      <c r="I218" s="32"/>
      <c r="J218" s="32"/>
      <c r="K218" s="32"/>
      <c r="L218" s="34">
        <v>1.1399999999999999</v>
      </c>
      <c r="M218" s="34">
        <v>1.37</v>
      </c>
      <c r="N218" s="32"/>
      <c r="O218" s="32"/>
      <c r="P218" s="32"/>
      <c r="Q218" s="32"/>
      <c r="R218" s="32"/>
      <c r="S218" s="271">
        <v>0.79</v>
      </c>
      <c r="T218" s="30">
        <f>ROUND((L218*I215+1.3*L218*K215+S218*H215),4)</f>
        <v>9422.4750000000004</v>
      </c>
      <c r="U218" s="30">
        <f>ROUND((M218*0.9*I215+1.3*M218*0.9*K215+S218*H215),4)</f>
        <v>10187.283799999999</v>
      </c>
      <c r="V218" s="30">
        <f>ROUND((M218*I215+1.3*M218*K215+S218*H215),4)</f>
        <v>11313.9375</v>
      </c>
      <c r="W218" s="30">
        <f>ROUND((L218*J215+1.3*L218*N215+S218*G215),4)</f>
        <v>35.520000000000003</v>
      </c>
      <c r="X218" s="30">
        <f>ROUND((M218*0.9*J215+1.3*M218*0.9*N215+S218*G215),4)</f>
        <v>38.030999999999999</v>
      </c>
      <c r="Y218" s="30">
        <f>ROUND((M218*J215+1.3*N215+S218*G215),4)</f>
        <v>36.92</v>
      </c>
      <c r="Z218" s="257">
        <f>ROUND((P215*T218*F215*O215/1000000),4)</f>
        <v>3.3921000000000001</v>
      </c>
      <c r="AA218" s="257">
        <f>ROUND((Q215*U218*F215*O215/1000000),4)</f>
        <v>1.8337000000000001</v>
      </c>
      <c r="AB218" s="257">
        <f>ROUND((R215*V218*F215*O215/1000000),4)</f>
        <v>2.0365000000000002</v>
      </c>
      <c r="AC218" s="258" t="s">
        <v>548</v>
      </c>
      <c r="AD218" s="259" t="s">
        <v>549</v>
      </c>
      <c r="AE218" s="34">
        <f>ROUND((((X218*E215)/1800)),4)</f>
        <v>4.2299999999999997E-2</v>
      </c>
      <c r="AF218" s="34">
        <f>ROUND(((Z218+AA218+AB218)),4)</f>
        <v>7.2622999999999998</v>
      </c>
      <c r="AG218" s="254"/>
      <c r="AH218" s="254"/>
    </row>
    <row r="219" spans="1:34" s="61" customFormat="1" ht="15" customHeight="1" x14ac:dyDescent="0.25">
      <c r="A219" s="260"/>
      <c r="B219" s="261"/>
      <c r="C219" s="32"/>
      <c r="D219" s="32"/>
      <c r="E219" s="32"/>
      <c r="F219" s="32"/>
      <c r="G219" s="32"/>
      <c r="H219" s="32"/>
      <c r="I219" s="32"/>
      <c r="J219" s="32"/>
      <c r="K219" s="32"/>
      <c r="L219" s="34">
        <v>0.72</v>
      </c>
      <c r="M219" s="34">
        <v>1.08</v>
      </c>
      <c r="N219" s="32"/>
      <c r="O219" s="32"/>
      <c r="P219" s="32"/>
      <c r="Q219" s="32"/>
      <c r="R219" s="32"/>
      <c r="S219" s="271">
        <v>0.17</v>
      </c>
      <c r="T219" s="30">
        <f>ROUND((L219*I215+1.3*L219*K215+S219*H215),4)</f>
        <v>5931.3</v>
      </c>
      <c r="U219" s="30">
        <f>ROUND((M219*0.9*I215+1.3*M219*0.9*K215+S219*H215),4)</f>
        <v>8003.6850000000004</v>
      </c>
      <c r="V219" s="30">
        <f>ROUND((M219*I215+1.3*M219*K215+S219*H215),4)</f>
        <v>8891.85</v>
      </c>
      <c r="W219" s="30">
        <f>ROUND((L219*J215+1.3*L219*N215+S219*G215),4)</f>
        <v>20.46</v>
      </c>
      <c r="X219" s="30">
        <f>ROUND((M219*0.9*J215+1.3*M219*0.9*N215+S219*G215),4)</f>
        <v>27.263999999999999</v>
      </c>
      <c r="Y219" s="30">
        <f>ROUND((M219*J215+1.3*M219*N215+S219*G215),4)</f>
        <v>30.18</v>
      </c>
      <c r="Z219" s="257">
        <f>ROUND((P215*T219*F215*O215/1000000),4)</f>
        <v>2.1353</v>
      </c>
      <c r="AA219" s="257">
        <f>ROUND((Q215*U219*F215*O215/1000000),4)</f>
        <v>1.4407000000000001</v>
      </c>
      <c r="AB219" s="257">
        <f>ROUND((R215*V219*F215*O215/1000000),4)</f>
        <v>1.6005</v>
      </c>
      <c r="AC219" s="258" t="s">
        <v>172</v>
      </c>
      <c r="AD219" s="259" t="s">
        <v>173</v>
      </c>
      <c r="AE219" s="34">
        <f>ROUND((((X219*E215)/1800)),4)</f>
        <v>3.0300000000000001E-2</v>
      </c>
      <c r="AF219" s="34">
        <f>ROUND(((Z219+AA219+AB219)),4)</f>
        <v>5.1764999999999999</v>
      </c>
      <c r="AG219" s="254"/>
      <c r="AH219" s="254"/>
    </row>
    <row r="220" spans="1:34" s="61" customFormat="1" ht="15" customHeight="1" x14ac:dyDescent="0.25">
      <c r="A220" s="260"/>
      <c r="B220" s="272"/>
      <c r="C220" s="265"/>
      <c r="D220" s="265"/>
      <c r="E220" s="265"/>
      <c r="F220" s="265"/>
      <c r="G220" s="265"/>
      <c r="H220" s="265"/>
      <c r="I220" s="265"/>
      <c r="J220" s="265"/>
      <c r="K220" s="265"/>
      <c r="L220" s="34">
        <v>3.37</v>
      </c>
      <c r="M220" s="34">
        <v>4.1100000000000003</v>
      </c>
      <c r="N220" s="265"/>
      <c r="O220" s="265"/>
      <c r="P220" s="265"/>
      <c r="Q220" s="265"/>
      <c r="R220" s="265"/>
      <c r="S220" s="271">
        <v>6.31</v>
      </c>
      <c r="T220" s="30">
        <f>ROUND((L220*I215+1.3*L220*K215+S220*H215),4)</f>
        <v>28092.637500000001</v>
      </c>
      <c r="U220" s="30">
        <f>ROUND((M220*0.9*I215+1.3*M220*0.9*K215+S220*H215),4)</f>
        <v>30798.2513</v>
      </c>
      <c r="V220" s="30">
        <f>ROUND((M220*I215+1.3*M220*K215+S220*H215),4)</f>
        <v>34178.212500000001</v>
      </c>
      <c r="W220" s="30">
        <f>ROUND((L220*J215+1.3*L220*N215+S220*G215),4)</f>
        <v>128.85</v>
      </c>
      <c r="X220" s="30">
        <f>ROUND((M220*0.9*J215+1.3*M220*0.9*N215+S220*G215),4)</f>
        <v>137.733</v>
      </c>
      <c r="Y220" s="30">
        <f>ROUND((M220*J215+1.3*M220*N215+S220*G215),4)</f>
        <v>148.83000000000001</v>
      </c>
      <c r="Z220" s="257">
        <f>ROUND((P215*T220*F215*O215/1000000),4)</f>
        <v>10.113300000000001</v>
      </c>
      <c r="AA220" s="257">
        <f>ROUND((Q215*U220*F215*O215/1000000),4)</f>
        <v>5.5437000000000003</v>
      </c>
      <c r="AB220" s="257">
        <f>ROUND((R215*V220*F215*O215/1000000),4)</f>
        <v>6.1520999999999999</v>
      </c>
      <c r="AC220" s="258" t="s">
        <v>157</v>
      </c>
      <c r="AD220" s="259" t="s">
        <v>153</v>
      </c>
      <c r="AE220" s="34">
        <f>ROUND((((X220*E215)/1800)),4)</f>
        <v>0.153</v>
      </c>
      <c r="AF220" s="34">
        <f>ROUND(((Z220+AA220+AB220)),4)</f>
        <v>21.809100000000001</v>
      </c>
      <c r="AG220" s="254"/>
      <c r="AH220" s="254"/>
    </row>
    <row r="221" spans="1:34" s="61" customFormat="1" ht="15" customHeight="1" x14ac:dyDescent="0.25">
      <c r="A221" s="260"/>
      <c r="B221" s="273" t="s">
        <v>558</v>
      </c>
      <c r="C221" s="30">
        <v>7</v>
      </c>
      <c r="D221" s="30" t="s">
        <v>560</v>
      </c>
      <c r="E221" s="30">
        <v>1</v>
      </c>
      <c r="F221" s="30">
        <v>17</v>
      </c>
      <c r="G221" s="30">
        <v>6</v>
      </c>
      <c r="H221" s="30">
        <v>60</v>
      </c>
      <c r="I221" s="30">
        <f>(8-1-0.75*2)*60*F221-K221-8*0.12*60</f>
        <v>1905.9</v>
      </c>
      <c r="J221" s="30">
        <v>14</v>
      </c>
      <c r="K221" s="30">
        <f>(8-1-0.75*2)*0.65*60*F221</f>
        <v>3646.5</v>
      </c>
      <c r="L221" s="30">
        <v>10.16</v>
      </c>
      <c r="M221" s="30">
        <v>10.16</v>
      </c>
      <c r="N221" s="30">
        <v>10</v>
      </c>
      <c r="O221" s="30">
        <f>E221/F221</f>
        <v>5.8823529411764705E-2</v>
      </c>
      <c r="P221" s="30">
        <v>180</v>
      </c>
      <c r="Q221" s="30">
        <v>90</v>
      </c>
      <c r="R221" s="256">
        <v>90</v>
      </c>
      <c r="S221" s="256">
        <v>1.99</v>
      </c>
      <c r="T221" s="30">
        <f>ROUND((L221*I221+1.3*L221*K221+S221*H221),4)</f>
        <v>67646.316000000006</v>
      </c>
      <c r="U221" s="30">
        <f>ROUND((M221*I221+1.3*M221*K221+S221*H221),4)</f>
        <v>67646.316000000006</v>
      </c>
      <c r="V221" s="30">
        <f>ROUND((M221*I221+1.3*M221*K221+S221*H221),4)</f>
        <v>67646.316000000006</v>
      </c>
      <c r="W221" s="30">
        <f>ROUND((L221*J221+1.3*L221*N221+S221*G221),4)</f>
        <v>286.26</v>
      </c>
      <c r="X221" s="30">
        <f>ROUND((M221*J221+1.3*M221*N221+S221*G221),4)</f>
        <v>286.26</v>
      </c>
      <c r="Y221" s="30">
        <f>ROUND((M221*J221+1.3*M221*N221+S221*G221),4)</f>
        <v>286.26</v>
      </c>
      <c r="Z221" s="257">
        <f>ROUND((P221*T221*F221*O221/1000000),4)</f>
        <v>12.176299999999999</v>
      </c>
      <c r="AA221" s="257">
        <f>ROUND((Q221*U221*F221*O221/1000000),4)</f>
        <v>6.0881999999999996</v>
      </c>
      <c r="AB221" s="257">
        <f>ROUND((R221*V221*F221*O221/1000000),4)</f>
        <v>6.0881999999999996</v>
      </c>
      <c r="AC221" s="258" t="s">
        <v>165</v>
      </c>
      <c r="AD221" s="259" t="s">
        <v>144</v>
      </c>
      <c r="AE221" s="34">
        <f>ROUND((((X221*E221)/1800)*0.8),4)</f>
        <v>0.12720000000000001</v>
      </c>
      <c r="AF221" s="34">
        <f>ROUND(((Z221+AA221+AB221)*0.8),4)</f>
        <v>19.482199999999999</v>
      </c>
      <c r="AG221" s="254"/>
      <c r="AH221" s="254"/>
    </row>
    <row r="222" spans="1:34" s="61" customFormat="1" ht="15" customHeight="1" x14ac:dyDescent="0.25">
      <c r="A222" s="260"/>
      <c r="B222" s="261" t="s">
        <v>561</v>
      </c>
      <c r="C222" s="32"/>
      <c r="D222" s="32"/>
      <c r="E222" s="32"/>
      <c r="F222" s="32"/>
      <c r="G222" s="32"/>
      <c r="H222" s="32"/>
      <c r="I222" s="32"/>
      <c r="J222" s="32"/>
      <c r="K222" s="32"/>
      <c r="L222" s="265"/>
      <c r="M222" s="265"/>
      <c r="N222" s="32"/>
      <c r="O222" s="32"/>
      <c r="P222" s="32"/>
      <c r="Q222" s="32"/>
      <c r="R222" s="32"/>
      <c r="S222" s="268"/>
      <c r="T222" s="32"/>
      <c r="U222" s="32"/>
      <c r="V222" s="32"/>
      <c r="W222" s="32"/>
      <c r="X222" s="32"/>
      <c r="Y222" s="32"/>
      <c r="Z222" s="32"/>
      <c r="AA222" s="32"/>
      <c r="AB222" s="32"/>
      <c r="AC222" s="258" t="s">
        <v>166</v>
      </c>
      <c r="AD222" s="259" t="s">
        <v>167</v>
      </c>
      <c r="AE222" s="34">
        <f>ROUND((((X221*E221)/1800)*0.13),4)</f>
        <v>2.07E-2</v>
      </c>
      <c r="AF222" s="34">
        <f>ROUND(((Z221+AA221+AB221)*0.13),4)</f>
        <v>3.1659000000000002</v>
      </c>
      <c r="AG222" s="254"/>
      <c r="AH222" s="254"/>
    </row>
    <row r="223" spans="1:34" s="61" customFormat="1" ht="15" customHeight="1" x14ac:dyDescent="0.25">
      <c r="A223" s="260"/>
      <c r="C223" s="263"/>
      <c r="D223" s="263"/>
      <c r="E223" s="32"/>
      <c r="F223" s="32"/>
      <c r="G223" s="32"/>
      <c r="H223" s="32"/>
      <c r="I223" s="32"/>
      <c r="J223" s="32"/>
      <c r="K223" s="32"/>
      <c r="L223" s="34">
        <v>0.8</v>
      </c>
      <c r="M223" s="34">
        <v>0.98</v>
      </c>
      <c r="N223" s="32"/>
      <c r="O223" s="32"/>
      <c r="P223" s="32"/>
      <c r="Q223" s="32"/>
      <c r="R223" s="32"/>
      <c r="S223" s="270">
        <v>0.39</v>
      </c>
      <c r="T223" s="30">
        <f>ROUND((L223*I221+1.3*L223*K221+S223*H221),4)</f>
        <v>5340.48</v>
      </c>
      <c r="U223" s="30">
        <f>ROUND((M223*0.9*I221+1.3*M223*0.9*K221+S223*H221),4)</f>
        <v>5885.4807000000001</v>
      </c>
      <c r="V223" s="30">
        <f>ROUND((M223*I221+1.3*M223*K221+S223*H221),4)</f>
        <v>6536.8230000000003</v>
      </c>
      <c r="W223" s="30">
        <f>ROUND((L223*J221+1.3*L223*N221+S223*G221),4)</f>
        <v>23.94</v>
      </c>
      <c r="X223" s="30">
        <f>ROUND((M223*0.9*J221+1.3*M223*0.9*N221+S223*G221),4)</f>
        <v>26.154</v>
      </c>
      <c r="Y223" s="30">
        <f>ROUND((M223*J221+1.3*M223*N221+S223*G221),4)</f>
        <v>28.8</v>
      </c>
      <c r="Z223" s="257">
        <f>ROUND((P221*T223*F221*O221/1000000),4)</f>
        <v>0.96130000000000004</v>
      </c>
      <c r="AA223" s="257">
        <f>ROUND((Q221*U223*F221*O221/1000000),4)</f>
        <v>0.52969999999999995</v>
      </c>
      <c r="AB223" s="257">
        <f>ROUND((R221*V223*F221*O221/1000000),4)</f>
        <v>0.58830000000000005</v>
      </c>
      <c r="AC223" s="258" t="s">
        <v>547</v>
      </c>
      <c r="AD223" s="259" t="s">
        <v>169</v>
      </c>
      <c r="AE223" s="34">
        <f>ROUND((((X223*E221)/1800)),4)</f>
        <v>1.4500000000000001E-2</v>
      </c>
      <c r="AF223" s="34">
        <f>ROUND(((Z223+AA223+AB223)),5)</f>
        <v>2.0792999999999999</v>
      </c>
      <c r="AG223" s="254"/>
      <c r="AH223" s="254"/>
    </row>
    <row r="224" spans="1:34" s="61" customFormat="1" ht="15" customHeight="1" x14ac:dyDescent="0.25">
      <c r="A224" s="260"/>
      <c r="C224" s="32"/>
      <c r="D224" s="32"/>
      <c r="E224" s="32"/>
      <c r="F224" s="32"/>
      <c r="G224" s="32"/>
      <c r="H224" s="32"/>
      <c r="I224" s="32"/>
      <c r="J224" s="32"/>
      <c r="K224" s="32"/>
      <c r="L224" s="34">
        <v>1.79</v>
      </c>
      <c r="M224" s="34">
        <v>2.15</v>
      </c>
      <c r="N224" s="32"/>
      <c r="O224" s="32"/>
      <c r="P224" s="32"/>
      <c r="Q224" s="32"/>
      <c r="R224" s="32"/>
      <c r="S224" s="271">
        <v>1.24</v>
      </c>
      <c r="T224" s="30">
        <f>ROUND((L224*I221+1.3*L224*K221+S224*H221),4)</f>
        <v>11971.3665</v>
      </c>
      <c r="U224" s="30">
        <f>ROUND((M224*0.9*I221+1.3*M224*0.9*K221+S224*H221),4)</f>
        <v>12935.087299999999</v>
      </c>
      <c r="V224" s="30">
        <f>ROUND((M224*I221+1.3*M224*K221+S224*H221),4)</f>
        <v>14364.0525</v>
      </c>
      <c r="W224" s="30">
        <f>ROUND((L224*J221+1.3*L224*N221+S224*G221),4)</f>
        <v>55.77</v>
      </c>
      <c r="X224" s="30">
        <f>ROUND((M224*0.9*J221+1.3*M224*0.9*N221+S224*G221),4)</f>
        <v>59.685000000000002</v>
      </c>
      <c r="Y224" s="30">
        <f>ROUND((M224*J221+1.3*N221+S224*G221),4)</f>
        <v>50.54</v>
      </c>
      <c r="Z224" s="257">
        <f>ROUND((P221*T224*F221*O221/1000000),4)</f>
        <v>2.1547999999999998</v>
      </c>
      <c r="AA224" s="257">
        <f>ROUND((Q221*U224*F221*O221/1000000),4)</f>
        <v>1.1641999999999999</v>
      </c>
      <c r="AB224" s="257">
        <f>ROUND((R221*V224*F221*O221/1000000),4)</f>
        <v>1.2927999999999999</v>
      </c>
      <c r="AC224" s="258" t="s">
        <v>548</v>
      </c>
      <c r="AD224" s="259" t="s">
        <v>549</v>
      </c>
      <c r="AE224" s="34">
        <f>ROUND((((X224*E221)/1800)),4)</f>
        <v>3.32E-2</v>
      </c>
      <c r="AF224" s="34">
        <f>ROUND(((Z224+AA224+AB224)),4)</f>
        <v>4.6117999999999997</v>
      </c>
      <c r="AG224" s="254"/>
      <c r="AH224" s="254"/>
    </row>
    <row r="225" spans="1:34" s="61" customFormat="1" ht="15" customHeight="1" x14ac:dyDescent="0.25">
      <c r="A225" s="260"/>
      <c r="B225" s="261"/>
      <c r="C225" s="32"/>
      <c r="D225" s="32"/>
      <c r="E225" s="32"/>
      <c r="F225" s="32"/>
      <c r="G225" s="32"/>
      <c r="H225" s="32"/>
      <c r="I225" s="32"/>
      <c r="J225" s="32"/>
      <c r="K225" s="32"/>
      <c r="L225" s="34">
        <v>1.1299999999999999</v>
      </c>
      <c r="M225" s="34">
        <v>1.7</v>
      </c>
      <c r="N225" s="32"/>
      <c r="O225" s="32"/>
      <c r="P225" s="32"/>
      <c r="Q225" s="32"/>
      <c r="R225" s="32"/>
      <c r="S225" s="271">
        <v>0.26</v>
      </c>
      <c r="T225" s="30">
        <f>ROUND((L225*I221+1.3*L225*K221+S225*H221),4)</f>
        <v>7525.9754999999996</v>
      </c>
      <c r="U225" s="30">
        <f>ROUND((M225*0.9*I221+1.3*M225*0.9*K221+S225*H221),4)</f>
        <v>10184.5155</v>
      </c>
      <c r="V225" s="30">
        <f>ROUND((M225*I221+1.3*M225*K221+S225*H221),4)</f>
        <v>11314.395</v>
      </c>
      <c r="W225" s="30">
        <f>ROUND((L225*J221+1.3*L225*N221+S225*G221),4)</f>
        <v>32.07</v>
      </c>
      <c r="X225" s="30">
        <f>ROUND((M225*0.9*J221+1.3*M225*0.9*N221+S225*G221),4)</f>
        <v>42.87</v>
      </c>
      <c r="Y225" s="30">
        <f>ROUND((M225*J221+1.3*M225*N221+S225*G221),4)</f>
        <v>47.46</v>
      </c>
      <c r="Z225" s="257">
        <f>ROUND((P221*T225*F221*O221/1000000),4)</f>
        <v>1.3547</v>
      </c>
      <c r="AA225" s="257">
        <f>ROUND((Q221*U225*F221*O221/1000000),4)</f>
        <v>0.91659999999999997</v>
      </c>
      <c r="AB225" s="257">
        <f>ROUND((R221*V225*F221*O221/1000000),4)</f>
        <v>1.0183</v>
      </c>
      <c r="AC225" s="258" t="s">
        <v>172</v>
      </c>
      <c r="AD225" s="259" t="s">
        <v>173</v>
      </c>
      <c r="AE225" s="34">
        <f>ROUND((((X225*E221)/1800)),4)</f>
        <v>2.3800000000000002E-2</v>
      </c>
      <c r="AF225" s="34">
        <f>ROUND(((Z225+AA225+AB225)),4)</f>
        <v>3.2896000000000001</v>
      </c>
      <c r="AG225" s="254"/>
      <c r="AH225" s="254"/>
    </row>
    <row r="226" spans="1:34" s="61" customFormat="1" ht="15" customHeight="1" x14ac:dyDescent="0.25">
      <c r="A226" s="260"/>
      <c r="B226" s="272"/>
      <c r="C226" s="265"/>
      <c r="D226" s="265"/>
      <c r="E226" s="265"/>
      <c r="F226" s="265"/>
      <c r="G226" s="265"/>
      <c r="H226" s="265"/>
      <c r="I226" s="265"/>
      <c r="J226" s="265"/>
      <c r="K226" s="265"/>
      <c r="L226" s="34">
        <v>5.3</v>
      </c>
      <c r="M226" s="34">
        <v>6.47</v>
      </c>
      <c r="N226" s="265"/>
      <c r="O226" s="265"/>
      <c r="P226" s="265"/>
      <c r="Q226" s="265"/>
      <c r="R226" s="265"/>
      <c r="S226" s="271">
        <v>9.92</v>
      </c>
      <c r="T226" s="30">
        <f>ROUND((L226*I221+1.3*L226*K221+S226*H221),4)</f>
        <v>35820.855000000003</v>
      </c>
      <c r="U226" s="30">
        <f>ROUND((M226*0.9*I221+1.3*M226*0.9*K221+S226*H221),4)</f>
        <v>39296.896099999998</v>
      </c>
      <c r="V226" s="30">
        <f>ROUND((M226*I221+1.3*M226*K221+S226*H221),4)</f>
        <v>43597.084499999997</v>
      </c>
      <c r="W226" s="30">
        <f>ROUND((L226*J221+1.3*L226*N221+S226*G221),4)</f>
        <v>202.62</v>
      </c>
      <c r="X226" s="30">
        <f>ROUND((M226*0.9*J221+1.3*M226*0.9*N221+S226*G221),4)</f>
        <v>216.74100000000001</v>
      </c>
      <c r="Y226" s="30">
        <f>ROUND((M226*J221+1.3*M226*N221+S226*G221),4)</f>
        <v>234.21</v>
      </c>
      <c r="Z226" s="257">
        <f>ROUND((P221*T226*F221*O221/1000000),4)</f>
        <v>6.4478</v>
      </c>
      <c r="AA226" s="257">
        <f>ROUND((Q221*U226*F221*O221/1000000),4)</f>
        <v>3.5367000000000002</v>
      </c>
      <c r="AB226" s="257">
        <f>ROUND((R221*V226*F221*O221/1000000),4)</f>
        <v>3.9237000000000002</v>
      </c>
      <c r="AC226" s="258" t="s">
        <v>157</v>
      </c>
      <c r="AD226" s="259" t="s">
        <v>153</v>
      </c>
      <c r="AE226" s="34">
        <f>ROUND((((X226*E221)/1800)),4)</f>
        <v>0.12039999999999999</v>
      </c>
      <c r="AF226" s="34">
        <f>ROUND(((Z226+AA226+AB226)),4)</f>
        <v>13.908200000000001</v>
      </c>
      <c r="AG226" s="254"/>
      <c r="AH226" s="254"/>
    </row>
    <row r="227" spans="1:34" s="61" customFormat="1" ht="15" customHeight="1" x14ac:dyDescent="0.25">
      <c r="A227" s="260"/>
      <c r="B227" s="1635" t="s">
        <v>562</v>
      </c>
      <c r="C227" s="30">
        <v>7</v>
      </c>
      <c r="D227" s="30" t="s">
        <v>560</v>
      </c>
      <c r="E227" s="30">
        <v>3</v>
      </c>
      <c r="F227" s="30">
        <v>56</v>
      </c>
      <c r="G227" s="30">
        <v>6</v>
      </c>
      <c r="H227" s="30">
        <v>60</v>
      </c>
      <c r="I227" s="30">
        <f>(8-1-0.75*2)*60*F227-K227-8*0.12*60</f>
        <v>6410.4</v>
      </c>
      <c r="J227" s="30">
        <v>14</v>
      </c>
      <c r="K227" s="30">
        <f>(8-1-0.75*2)*0.65*60*F227</f>
        <v>12012</v>
      </c>
      <c r="L227" s="30">
        <v>10.16</v>
      </c>
      <c r="M227" s="30">
        <v>10.16</v>
      </c>
      <c r="N227" s="30">
        <v>10</v>
      </c>
      <c r="O227" s="30">
        <f>E227/F227</f>
        <v>5.3571428571428568E-2</v>
      </c>
      <c r="P227" s="30">
        <v>180</v>
      </c>
      <c r="Q227" s="30">
        <v>90</v>
      </c>
      <c r="R227" s="256">
        <v>90</v>
      </c>
      <c r="S227" s="256">
        <v>1.99</v>
      </c>
      <c r="T227" s="30">
        <f>ROUND((L227*I227+1.3*L227*K227+S227*H227),4)</f>
        <v>223903.56</v>
      </c>
      <c r="U227" s="30">
        <f>ROUND((M227*I227+1.3*M227*K227+S227*H227),4)</f>
        <v>223903.56</v>
      </c>
      <c r="V227" s="30">
        <f>ROUND((M227*I227+1.3*M227*K227+S227*H227),4)</f>
        <v>223903.56</v>
      </c>
      <c r="W227" s="30">
        <f>ROUND((L227*J227+1.3*L227*N227+S227*G227),4)</f>
        <v>286.26</v>
      </c>
      <c r="X227" s="30">
        <f>ROUND((M227*J227+1.3*M227*N227+S227*G227),4)</f>
        <v>286.26</v>
      </c>
      <c r="Y227" s="30">
        <f>ROUND((M227*J227+1.3*M227*N227+S227*G227),4)</f>
        <v>286.26</v>
      </c>
      <c r="Z227" s="257">
        <f>ROUND((P227*T227*F227*O227/1000000),4)</f>
        <v>120.9079</v>
      </c>
      <c r="AA227" s="257">
        <f>ROUND((Q227*U227*F227*O227/1000000),4)</f>
        <v>60.454000000000001</v>
      </c>
      <c r="AB227" s="257">
        <f>ROUND((R227*V227*F227*O227/1000000),4)</f>
        <v>60.454000000000001</v>
      </c>
      <c r="AC227" s="258" t="s">
        <v>165</v>
      </c>
      <c r="AD227" s="259" t="s">
        <v>144</v>
      </c>
      <c r="AE227" s="34">
        <f>ROUND((((X227*E227)/1800)*0.8),4)</f>
        <v>0.38169999999999998</v>
      </c>
      <c r="AF227" s="34">
        <f>ROUND(((Z227+AA227+AB227)*0.8),4)</f>
        <v>193.45269999999999</v>
      </c>
    </row>
    <row r="228" spans="1:34" s="61" customFormat="1" ht="15" customHeight="1" x14ac:dyDescent="0.25">
      <c r="A228" s="260"/>
      <c r="B228" s="1636"/>
      <c r="C228" s="32"/>
      <c r="D228" s="32"/>
      <c r="E228" s="32"/>
      <c r="F228" s="32"/>
      <c r="G228" s="32"/>
      <c r="H228" s="32"/>
      <c r="I228" s="32"/>
      <c r="J228" s="32"/>
      <c r="K228" s="32"/>
      <c r="L228" s="265"/>
      <c r="M228" s="265"/>
      <c r="N228" s="32"/>
      <c r="O228" s="32"/>
      <c r="P228" s="32"/>
      <c r="Q228" s="32"/>
      <c r="R228" s="32"/>
      <c r="S228" s="268"/>
      <c r="T228" s="32"/>
      <c r="U228" s="32"/>
      <c r="V228" s="32"/>
      <c r="W228" s="32"/>
      <c r="X228" s="32"/>
      <c r="Y228" s="32"/>
      <c r="Z228" s="32"/>
      <c r="AA228" s="32"/>
      <c r="AB228" s="32"/>
      <c r="AC228" s="258" t="s">
        <v>166</v>
      </c>
      <c r="AD228" s="259" t="s">
        <v>167</v>
      </c>
      <c r="AE228" s="34">
        <f>ROUND((((X227*E227)/1800)*0.13),4)</f>
        <v>6.2E-2</v>
      </c>
      <c r="AF228" s="34">
        <f>ROUND(((Z227+AA227+AB227)*0.13),4)</f>
        <v>31.4361</v>
      </c>
    </row>
    <row r="229" spans="1:34" s="61" customFormat="1" ht="15" customHeight="1" x14ac:dyDescent="0.25">
      <c r="A229" s="260"/>
      <c r="B229" s="261" t="s">
        <v>563</v>
      </c>
      <c r="C229" s="263"/>
      <c r="D229" s="263"/>
      <c r="E229" s="32"/>
      <c r="F229" s="32"/>
      <c r="G229" s="32"/>
      <c r="H229" s="32"/>
      <c r="I229" s="32"/>
      <c r="J229" s="32"/>
      <c r="K229" s="32"/>
      <c r="L229" s="34">
        <v>0.8</v>
      </c>
      <c r="M229" s="34">
        <v>0.98</v>
      </c>
      <c r="N229" s="32"/>
      <c r="O229" s="32"/>
      <c r="P229" s="32"/>
      <c r="Q229" s="32"/>
      <c r="R229" s="32"/>
      <c r="S229" s="270">
        <v>0.39</v>
      </c>
      <c r="T229" s="30">
        <f>ROUND((L229*I227+1.3*L229*K227+S229*H227),4)</f>
        <v>17644.2</v>
      </c>
      <c r="U229" s="30">
        <f>ROUND((M229*0.9*I227+1.3*M229*0.9*K227+S229*H227),4)</f>
        <v>19450.331999999999</v>
      </c>
      <c r="V229" s="30">
        <f>ROUND((M229*I227+1.3*M229*K227+S229*H227),4)</f>
        <v>21608.880000000001</v>
      </c>
      <c r="W229" s="30">
        <f>ROUND((L229*J227+1.3*L229*N227+S229*G227),4)</f>
        <v>23.94</v>
      </c>
      <c r="X229" s="30">
        <f>ROUND((M229*0.9*J227+1.3*M229*0.9*N227+S229*G227),4)</f>
        <v>26.154</v>
      </c>
      <c r="Y229" s="30">
        <f>ROUND((M229*J227+1.3*M229*N227+S229*G227),4)</f>
        <v>28.8</v>
      </c>
      <c r="Z229" s="257">
        <f>ROUND((P227*T229*F227*O227/1000000),4)</f>
        <v>9.5279000000000007</v>
      </c>
      <c r="AA229" s="257">
        <f>ROUND((Q227*U229*F227*O227/1000000),4)</f>
        <v>5.2515999999999998</v>
      </c>
      <c r="AB229" s="257">
        <f>ROUND((R227*V229*F227*O227/1000000),4)</f>
        <v>5.8343999999999996</v>
      </c>
      <c r="AC229" s="258" t="s">
        <v>547</v>
      </c>
      <c r="AD229" s="259" t="s">
        <v>169</v>
      </c>
      <c r="AE229" s="34">
        <f>ROUND((((X229*E227)/1800)),4)</f>
        <v>4.36E-2</v>
      </c>
      <c r="AF229" s="34">
        <f>ROUND(((Z229+AA229+AB229)),5)</f>
        <v>20.613900000000001</v>
      </c>
    </row>
    <row r="230" spans="1:34" s="61" customFormat="1" ht="15" customHeight="1" x14ac:dyDescent="0.25">
      <c r="A230" s="260"/>
      <c r="C230" s="32"/>
      <c r="D230" s="32"/>
      <c r="E230" s="32"/>
      <c r="F230" s="32"/>
      <c r="G230" s="32"/>
      <c r="H230" s="32"/>
      <c r="I230" s="32"/>
      <c r="J230" s="32"/>
      <c r="K230" s="32"/>
      <c r="L230" s="34">
        <v>1.79</v>
      </c>
      <c r="M230" s="34">
        <v>2.15</v>
      </c>
      <c r="N230" s="32"/>
      <c r="O230" s="32"/>
      <c r="P230" s="32"/>
      <c r="Q230" s="32"/>
      <c r="R230" s="32"/>
      <c r="S230" s="271">
        <v>1.24</v>
      </c>
      <c r="T230" s="30">
        <f>ROUND((L230*I227+1.3*L230*K227+S230*H227),4)</f>
        <v>39500.94</v>
      </c>
      <c r="U230" s="30">
        <f>ROUND((M230*0.9*I227+1.3*M230*0.9*K227+S230*H227),4)</f>
        <v>42694.71</v>
      </c>
      <c r="V230" s="30">
        <f>ROUND((M230*I227+1.3*M230*K227+S230*H227),4)</f>
        <v>47430.3</v>
      </c>
      <c r="W230" s="30">
        <f>ROUND((L230*J227+1.3*L230*N227+S230*G227),4)</f>
        <v>55.77</v>
      </c>
      <c r="X230" s="30">
        <f>ROUND((M230*0.9*J227+1.3*M230*0.9*N227+S230*G227),4)</f>
        <v>59.685000000000002</v>
      </c>
      <c r="Y230" s="30">
        <f>ROUND((M230*J227+1.3*N227+S230*G227),4)</f>
        <v>50.54</v>
      </c>
      <c r="Z230" s="257">
        <f>ROUND((P227*T230*F227*O227/1000000),4)</f>
        <v>21.330500000000001</v>
      </c>
      <c r="AA230" s="257">
        <f>ROUND((Q227*U230*F227*O227/1000000),4)</f>
        <v>11.5276</v>
      </c>
      <c r="AB230" s="257">
        <f>ROUND((R227*V230*F227*O227/1000000),4)</f>
        <v>12.8062</v>
      </c>
      <c r="AC230" s="258" t="s">
        <v>548</v>
      </c>
      <c r="AD230" s="259" t="s">
        <v>549</v>
      </c>
      <c r="AE230" s="34">
        <f>ROUND((((X230*E227)/1800)),4)</f>
        <v>9.9500000000000005E-2</v>
      </c>
      <c r="AF230" s="34">
        <f>ROUND(((Z230+AA230+AB230)),4)</f>
        <v>45.664299999999997</v>
      </c>
    </row>
    <row r="231" spans="1:34" s="61" customFormat="1" ht="15" customHeight="1" x14ac:dyDescent="0.25">
      <c r="A231" s="260"/>
      <c r="B231" s="261"/>
      <c r="C231" s="32"/>
      <c r="D231" s="32"/>
      <c r="E231" s="32"/>
      <c r="F231" s="32"/>
      <c r="G231" s="32"/>
      <c r="H231" s="32"/>
      <c r="I231" s="32"/>
      <c r="J231" s="32"/>
      <c r="K231" s="32"/>
      <c r="L231" s="34">
        <v>1.1299999999999999</v>
      </c>
      <c r="M231" s="34">
        <v>1.7</v>
      </c>
      <c r="N231" s="32"/>
      <c r="O231" s="32"/>
      <c r="P231" s="32"/>
      <c r="Q231" s="32"/>
      <c r="R231" s="32"/>
      <c r="S231" s="271">
        <v>0.26</v>
      </c>
      <c r="T231" s="30">
        <f>ROUND((L231*I227+1.3*L231*K227+S231*H227),4)</f>
        <v>24904.98</v>
      </c>
      <c r="U231" s="30">
        <f>ROUND((M231*0.9*I227+1.3*M231*0.9*K227+S231*H227),4)</f>
        <v>33715.379999999997</v>
      </c>
      <c r="V231" s="30">
        <f>ROUND((M231*I227+1.3*M231*K227+S231*H227),4)</f>
        <v>37459.800000000003</v>
      </c>
      <c r="W231" s="30">
        <f>ROUND((L231*J227+1.3*L231*N227+S231*G227),4)</f>
        <v>32.07</v>
      </c>
      <c r="X231" s="30">
        <f>ROUND((M231*0.9*J227+1.3*M231*0.9*N227+S231*G227),4)</f>
        <v>42.87</v>
      </c>
      <c r="Y231" s="30">
        <f>ROUND((M231*J227+1.3*M231*N227+S231*G227),4)</f>
        <v>47.46</v>
      </c>
      <c r="Z231" s="257">
        <f>ROUND((P227*T231*F227*O227/1000000),4)</f>
        <v>13.448700000000001</v>
      </c>
      <c r="AA231" s="257">
        <f>ROUND((Q227*U231*F227*O227/1000000),4)</f>
        <v>9.1031999999999993</v>
      </c>
      <c r="AB231" s="257">
        <f>ROUND((R227*V231*F227*O227/1000000),4)</f>
        <v>10.114100000000001</v>
      </c>
      <c r="AC231" s="258" t="s">
        <v>172</v>
      </c>
      <c r="AD231" s="259" t="s">
        <v>173</v>
      </c>
      <c r="AE231" s="34">
        <f>ROUND((((X231*E227)/1800)),4)</f>
        <v>7.1499999999999994E-2</v>
      </c>
      <c r="AF231" s="34">
        <f>ROUND(((Z231+AA231+AB231)),4)</f>
        <v>32.665999999999997</v>
      </c>
    </row>
    <row r="232" spans="1:34" s="61" customFormat="1" ht="15" customHeight="1" x14ac:dyDescent="0.25">
      <c r="A232" s="260"/>
      <c r="B232" s="272"/>
      <c r="C232" s="265"/>
      <c r="D232" s="265"/>
      <c r="E232" s="265"/>
      <c r="F232" s="265"/>
      <c r="G232" s="265"/>
      <c r="H232" s="265"/>
      <c r="I232" s="265"/>
      <c r="J232" s="265"/>
      <c r="K232" s="265"/>
      <c r="L232" s="34">
        <v>5.3</v>
      </c>
      <c r="M232" s="34">
        <v>6.47</v>
      </c>
      <c r="N232" s="265"/>
      <c r="O232" s="265"/>
      <c r="P232" s="265"/>
      <c r="Q232" s="265"/>
      <c r="R232" s="265"/>
      <c r="S232" s="271">
        <v>9.92</v>
      </c>
      <c r="T232" s="30">
        <f>ROUND((L232*I227+1.3*L232*K227+S232*H227),4)</f>
        <v>117333</v>
      </c>
      <c r="U232" s="30">
        <f>ROUND((M232*0.9*I227+1.3*M232*0.9*K227+S232*H227),4)</f>
        <v>128852.598</v>
      </c>
      <c r="V232" s="30">
        <f>ROUND((M232*I227+1.3*M232*K227+S232*H227),4)</f>
        <v>143103.42000000001</v>
      </c>
      <c r="W232" s="30">
        <f>ROUND((L232*J227+1.3*L232*N227+S232*G227),4)</f>
        <v>202.62</v>
      </c>
      <c r="X232" s="30">
        <f>ROUND((M232*0.9*J227+1.3*M232*0.9*N227+S232*G227),4)</f>
        <v>216.74100000000001</v>
      </c>
      <c r="Y232" s="30">
        <f>ROUND((M232*J227+1.3*M232*N227+S232*G227),4)</f>
        <v>234.21</v>
      </c>
      <c r="Z232" s="257">
        <f>ROUND((P227*T232*F227*O227/1000000),4)</f>
        <v>63.3598</v>
      </c>
      <c r="AA232" s="257">
        <f>ROUND((Q227*U232*F227*O227/1000000),4)</f>
        <v>34.790199999999999</v>
      </c>
      <c r="AB232" s="257">
        <f>ROUND((R227*V232*F227*O227/1000000),4)</f>
        <v>38.637900000000002</v>
      </c>
      <c r="AC232" s="258" t="s">
        <v>157</v>
      </c>
      <c r="AD232" s="259" t="s">
        <v>153</v>
      </c>
      <c r="AE232" s="34">
        <f>ROUND((((X232*E227)/1800)),4)</f>
        <v>0.36120000000000002</v>
      </c>
      <c r="AF232" s="34">
        <f>ROUND(((Z232+AA232+AB232)),4)</f>
        <v>136.78790000000001</v>
      </c>
    </row>
    <row r="233" spans="1:34" s="61" customFormat="1" ht="15" customHeight="1" x14ac:dyDescent="0.25">
      <c r="A233" s="260"/>
      <c r="B233" s="1635" t="s">
        <v>562</v>
      </c>
      <c r="C233" s="30">
        <v>7</v>
      </c>
      <c r="D233" s="30" t="s">
        <v>560</v>
      </c>
      <c r="E233" s="30">
        <v>1</v>
      </c>
      <c r="F233" s="30">
        <v>18</v>
      </c>
      <c r="G233" s="30">
        <v>6</v>
      </c>
      <c r="H233" s="30">
        <v>60</v>
      </c>
      <c r="I233" s="30">
        <f>(8-1-0.75*2)*60*F233-K233-8*0.12*60</f>
        <v>2021.4</v>
      </c>
      <c r="J233" s="30">
        <v>14</v>
      </c>
      <c r="K233" s="30">
        <f>(8-1-0.75*2)*0.65*60*F233</f>
        <v>3861</v>
      </c>
      <c r="L233" s="30">
        <v>10.16</v>
      </c>
      <c r="M233" s="30">
        <v>10.16</v>
      </c>
      <c r="N233" s="30">
        <v>10</v>
      </c>
      <c r="O233" s="30">
        <f>E233/F233</f>
        <v>5.5555555555555552E-2</v>
      </c>
      <c r="P233" s="30">
        <v>180</v>
      </c>
      <c r="Q233" s="30">
        <v>90</v>
      </c>
      <c r="R233" s="256">
        <v>90</v>
      </c>
      <c r="S233" s="256">
        <v>1.99</v>
      </c>
      <c r="T233" s="30">
        <f>ROUND((L233*I233+1.3*L233*K233+S233*H233),4)</f>
        <v>71652.911999999997</v>
      </c>
      <c r="U233" s="30">
        <f>ROUND((M233*I233+1.3*M233*K233+S233*H233),4)</f>
        <v>71652.911999999997</v>
      </c>
      <c r="V233" s="30">
        <f>ROUND((M233*I233+1.3*M233*K233+S233*H233),4)</f>
        <v>71652.911999999997</v>
      </c>
      <c r="W233" s="30">
        <f>ROUND((L233*J233+1.3*L233*N233+S233*G233),4)</f>
        <v>286.26</v>
      </c>
      <c r="X233" s="30">
        <f>ROUND((M233*J233+1.3*M233*N233+S233*G233),4)</f>
        <v>286.26</v>
      </c>
      <c r="Y233" s="30">
        <f>ROUND((M233*J233+1.3*M233*N233+S233*G233),4)</f>
        <v>286.26</v>
      </c>
      <c r="Z233" s="257">
        <f>ROUND((P233*T233*F233*O233/1000000),4)</f>
        <v>12.897500000000001</v>
      </c>
      <c r="AA233" s="257">
        <f>ROUND((Q233*U233*F233*O233/1000000),4)</f>
        <v>6.4488000000000003</v>
      </c>
      <c r="AB233" s="257">
        <f>ROUND((R233*V233*F233*O233/1000000),4)</f>
        <v>6.4488000000000003</v>
      </c>
      <c r="AC233" s="258" t="s">
        <v>165</v>
      </c>
      <c r="AD233" s="259" t="s">
        <v>144</v>
      </c>
      <c r="AE233" s="34">
        <f>ROUND((((X233*E233)/1800)*0.8),4)</f>
        <v>0.12720000000000001</v>
      </c>
      <c r="AF233" s="34">
        <f>ROUND(((Z233+AA233+AB233)*0.8),4)</f>
        <v>20.636099999999999</v>
      </c>
    </row>
    <row r="234" spans="1:34" s="61" customFormat="1" ht="15" customHeight="1" x14ac:dyDescent="0.25">
      <c r="A234" s="260"/>
      <c r="B234" s="1636"/>
      <c r="C234" s="32"/>
      <c r="D234" s="32"/>
      <c r="E234" s="32"/>
      <c r="F234" s="32"/>
      <c r="G234" s="32"/>
      <c r="H234" s="32"/>
      <c r="I234" s="32"/>
      <c r="J234" s="32"/>
      <c r="K234" s="32"/>
      <c r="L234" s="265"/>
      <c r="M234" s="265"/>
      <c r="N234" s="32"/>
      <c r="O234" s="32"/>
      <c r="P234" s="32"/>
      <c r="Q234" s="32"/>
      <c r="R234" s="32"/>
      <c r="S234" s="268"/>
      <c r="T234" s="32"/>
      <c r="U234" s="32"/>
      <c r="V234" s="32"/>
      <c r="W234" s="32"/>
      <c r="X234" s="32"/>
      <c r="Y234" s="32"/>
      <c r="Z234" s="32"/>
      <c r="AA234" s="32"/>
      <c r="AB234" s="32"/>
      <c r="AC234" s="258" t="s">
        <v>166</v>
      </c>
      <c r="AD234" s="259" t="s">
        <v>167</v>
      </c>
      <c r="AE234" s="34">
        <f>ROUND((((X233*E233)/1800)*0.13),4)</f>
        <v>2.07E-2</v>
      </c>
      <c r="AF234" s="34">
        <f>ROUND(((Z233+AA233+AB233)*0.13),4)</f>
        <v>3.3534000000000002</v>
      </c>
    </row>
    <row r="235" spans="1:34" s="61" customFormat="1" ht="15" customHeight="1" x14ac:dyDescent="0.25">
      <c r="A235" s="260"/>
      <c r="B235" s="1640" t="s">
        <v>564</v>
      </c>
      <c r="C235" s="263"/>
      <c r="D235" s="263"/>
      <c r="E235" s="32"/>
      <c r="F235" s="32"/>
      <c r="G235" s="32"/>
      <c r="H235" s="32"/>
      <c r="I235" s="32"/>
      <c r="J235" s="32"/>
      <c r="K235" s="32"/>
      <c r="L235" s="34">
        <v>0.8</v>
      </c>
      <c r="M235" s="34">
        <v>0.98</v>
      </c>
      <c r="N235" s="32"/>
      <c r="O235" s="32"/>
      <c r="P235" s="32"/>
      <c r="Q235" s="32"/>
      <c r="R235" s="32"/>
      <c r="S235" s="270">
        <v>0.39</v>
      </c>
      <c r="T235" s="30">
        <f>ROUND((L235*I233+1.3*L235*K233+S235*H233),4)</f>
        <v>5655.96</v>
      </c>
      <c r="U235" s="30">
        <f>ROUND((M235*0.9*I233+1.3*M235*0.9*K233+S235*H233),4)</f>
        <v>6233.2974000000004</v>
      </c>
      <c r="V235" s="30">
        <f>ROUND((M235*I233+1.3*M235*K233+S235*H233),4)</f>
        <v>6923.2860000000001</v>
      </c>
      <c r="W235" s="30">
        <f>ROUND((L235*J233+1.3*L235*N233+S235*G233),4)</f>
        <v>23.94</v>
      </c>
      <c r="X235" s="30">
        <f>ROUND((M235*0.9*J233+1.3*M235*0.9*N233+S235*G233),4)</f>
        <v>26.154</v>
      </c>
      <c r="Y235" s="30">
        <f>ROUND((M235*J233+1.3*M235*N233+S235*G233),4)</f>
        <v>28.8</v>
      </c>
      <c r="Z235" s="257">
        <f>ROUND((P233*T235*F233*O233/1000000),4)</f>
        <v>1.0181</v>
      </c>
      <c r="AA235" s="257">
        <f>ROUND((Q233*U235*F233*O233/1000000),4)</f>
        <v>0.56100000000000005</v>
      </c>
      <c r="AB235" s="257">
        <f>ROUND((R233*V235*F233*O233/1000000),4)</f>
        <v>0.62309999999999999</v>
      </c>
      <c r="AC235" s="258" t="s">
        <v>547</v>
      </c>
      <c r="AD235" s="259" t="s">
        <v>169</v>
      </c>
      <c r="AE235" s="34">
        <f>ROUND((((X235*E233)/1800)),4)</f>
        <v>1.4500000000000001E-2</v>
      </c>
      <c r="AF235" s="34">
        <f>ROUND(((Z235+AA235+AB235)),5)</f>
        <v>2.2021999999999999</v>
      </c>
    </row>
    <row r="236" spans="1:34" s="61" customFormat="1" ht="15" customHeight="1" x14ac:dyDescent="0.25">
      <c r="A236" s="260"/>
      <c r="B236" s="1640"/>
      <c r="C236" s="32"/>
      <c r="D236" s="32"/>
      <c r="E236" s="32"/>
      <c r="F236" s="32"/>
      <c r="G236" s="32"/>
      <c r="H236" s="32"/>
      <c r="I236" s="32"/>
      <c r="J236" s="32"/>
      <c r="K236" s="32"/>
      <c r="L236" s="34">
        <v>1.79</v>
      </c>
      <c r="M236" s="34">
        <v>2.15</v>
      </c>
      <c r="N236" s="32"/>
      <c r="O236" s="32"/>
      <c r="P236" s="32"/>
      <c r="Q236" s="32"/>
      <c r="R236" s="32"/>
      <c r="S236" s="271">
        <v>1.24</v>
      </c>
      <c r="T236" s="30">
        <f>ROUND((L236*I233+1.3*L236*K233+S236*H233),4)</f>
        <v>12677.253000000001</v>
      </c>
      <c r="U236" s="30">
        <f>ROUND((M236*0.9*I233+1.3*M236*0.9*K233+S236*H233),4)</f>
        <v>13698.154500000001</v>
      </c>
      <c r="V236" s="30">
        <f>ROUND((M236*I233+1.3*M236*K233+S236*H233),4)</f>
        <v>15211.905000000001</v>
      </c>
      <c r="W236" s="30">
        <f>ROUND((L236*J233+1.3*L236*N233+S236*G233),4)</f>
        <v>55.77</v>
      </c>
      <c r="X236" s="30">
        <f>ROUND((M236*0.9*J233+1.3*M236*0.9*N233+S236*G233),4)</f>
        <v>59.685000000000002</v>
      </c>
      <c r="Y236" s="30">
        <f>ROUND((M236*J233+1.3*N233+S236*G233),4)</f>
        <v>50.54</v>
      </c>
      <c r="Z236" s="257">
        <f>ROUND((P233*T236*F233*O233/1000000),4)</f>
        <v>2.2818999999999998</v>
      </c>
      <c r="AA236" s="257">
        <f>ROUND((Q233*U236*F233*O233/1000000),4)</f>
        <v>1.2327999999999999</v>
      </c>
      <c r="AB236" s="257">
        <f>ROUND((R233*V236*F233*O233/1000000),4)</f>
        <v>1.3691</v>
      </c>
      <c r="AC236" s="258" t="s">
        <v>548</v>
      </c>
      <c r="AD236" s="259" t="s">
        <v>549</v>
      </c>
      <c r="AE236" s="34">
        <f>ROUND((((X236*E233)/1800)),4)</f>
        <v>3.32E-2</v>
      </c>
      <c r="AF236" s="34">
        <f>ROUND(((Z236+AA236+AB236)),4)</f>
        <v>4.8837999999999999</v>
      </c>
    </row>
    <row r="237" spans="1:34" s="61" customFormat="1" ht="15" customHeight="1" x14ac:dyDescent="0.25">
      <c r="A237" s="260"/>
      <c r="B237" s="261"/>
      <c r="C237" s="32"/>
      <c r="D237" s="32"/>
      <c r="E237" s="32"/>
      <c r="F237" s="32"/>
      <c r="G237" s="32"/>
      <c r="H237" s="32"/>
      <c r="I237" s="32"/>
      <c r="J237" s="32"/>
      <c r="K237" s="32"/>
      <c r="L237" s="34">
        <v>1.1299999999999999</v>
      </c>
      <c r="M237" s="34">
        <v>1.7</v>
      </c>
      <c r="N237" s="32"/>
      <c r="O237" s="32"/>
      <c r="P237" s="32"/>
      <c r="Q237" s="32"/>
      <c r="R237" s="32"/>
      <c r="S237" s="271">
        <v>0.26</v>
      </c>
      <c r="T237" s="30">
        <f>ROUND((L237*I233+1.3*L237*K233+S237*H233),4)</f>
        <v>7971.5910000000003</v>
      </c>
      <c r="U237" s="30">
        <f>ROUND((M237*0.9*I233+1.3*M237*0.9*K233+S237*H233),4)</f>
        <v>10787.870999999999</v>
      </c>
      <c r="V237" s="30">
        <f>ROUND((M237*I233+1.3*M237*K233+S237*H233),4)</f>
        <v>11984.79</v>
      </c>
      <c r="W237" s="30">
        <f>ROUND((L237*J233+1.3*L237*N233+S237*G233),4)</f>
        <v>32.07</v>
      </c>
      <c r="X237" s="30">
        <f>ROUND((M237*0.9*J233+1.3*M237*0.9*N233+S237*G233),4)</f>
        <v>42.87</v>
      </c>
      <c r="Y237" s="30">
        <f>ROUND((M237*J233+1.3*M237*N233+S237*G233),4)</f>
        <v>47.46</v>
      </c>
      <c r="Z237" s="257">
        <f>ROUND((P233*T237*F233*O233/1000000),4)</f>
        <v>1.4349000000000001</v>
      </c>
      <c r="AA237" s="257">
        <f>ROUND((Q233*U237*F233*O233/1000000),4)</f>
        <v>0.97089999999999999</v>
      </c>
      <c r="AB237" s="257">
        <f>ROUND((R233*V237*F233*O233/1000000),4)</f>
        <v>1.0786</v>
      </c>
      <c r="AC237" s="258" t="s">
        <v>172</v>
      </c>
      <c r="AD237" s="259" t="s">
        <v>173</v>
      </c>
      <c r="AE237" s="34">
        <f>ROUND((((X237*E233)/1800)),4)</f>
        <v>2.3800000000000002E-2</v>
      </c>
      <c r="AF237" s="34">
        <f>ROUND(((Z237+AA237+AB237)),4)</f>
        <v>3.4843999999999999</v>
      </c>
    </row>
    <row r="238" spans="1:34" s="61" customFormat="1" ht="15" customHeight="1" x14ac:dyDescent="0.25">
      <c r="A238" s="260"/>
      <c r="B238" s="272"/>
      <c r="C238" s="265"/>
      <c r="D238" s="265"/>
      <c r="E238" s="265"/>
      <c r="F238" s="265"/>
      <c r="G238" s="265"/>
      <c r="H238" s="265"/>
      <c r="I238" s="265"/>
      <c r="J238" s="265"/>
      <c r="K238" s="265"/>
      <c r="L238" s="34">
        <v>5.3</v>
      </c>
      <c r="M238" s="34">
        <v>6.47</v>
      </c>
      <c r="N238" s="265"/>
      <c r="O238" s="265"/>
      <c r="P238" s="265"/>
      <c r="Q238" s="265"/>
      <c r="R238" s="265"/>
      <c r="S238" s="271">
        <v>9.92</v>
      </c>
      <c r="T238" s="30">
        <f>ROUND((L238*I233+1.3*L238*K233+S238*H233),4)</f>
        <v>37910.910000000003</v>
      </c>
      <c r="U238" s="30">
        <f>ROUND((M238*0.9*I233+1.3*M238*0.9*K233+S238*H233),4)</f>
        <v>41593.196100000001</v>
      </c>
      <c r="V238" s="30">
        <f>ROUND((M238*I233+1.3*M238*K233+S238*H233),4)</f>
        <v>46148.529000000002</v>
      </c>
      <c r="W238" s="30">
        <f>ROUND((L238*J233+1.3*L238*N233+S238*G233),4)</f>
        <v>202.62</v>
      </c>
      <c r="X238" s="30">
        <f>ROUND((M238*0.9*J233+1.3*M238*0.9*N233+S238*G233),4)</f>
        <v>216.74100000000001</v>
      </c>
      <c r="Y238" s="30">
        <f>ROUND((M238*J233+1.3*M238*N233+S238*G233),4)</f>
        <v>234.21</v>
      </c>
      <c r="Z238" s="257">
        <f>ROUND((P233*T238*F233*O233/1000000),4)</f>
        <v>6.8239999999999998</v>
      </c>
      <c r="AA238" s="257">
        <f>ROUND((Q233*U238*F233*O233/1000000),4)</f>
        <v>3.7433999999999998</v>
      </c>
      <c r="AB238" s="257">
        <f>ROUND((R233*V238*F233*O233/1000000),4)</f>
        <v>4.1534000000000004</v>
      </c>
      <c r="AC238" s="258" t="s">
        <v>157</v>
      </c>
      <c r="AD238" s="259" t="s">
        <v>153</v>
      </c>
      <c r="AE238" s="34">
        <f>ROUND((((X238*E233)/1800)),4)</f>
        <v>0.12039999999999999</v>
      </c>
      <c r="AF238" s="34">
        <f>ROUND(((Z238+AA238+AB238)),4)</f>
        <v>14.720800000000001</v>
      </c>
    </row>
    <row r="239" spans="1:34" s="61" customFormat="1" ht="15" customHeight="1" x14ac:dyDescent="0.25">
      <c r="A239" s="260"/>
      <c r="B239" s="1643" t="s">
        <v>581</v>
      </c>
      <c r="C239" s="255">
        <v>5</v>
      </c>
      <c r="D239" s="30" t="s">
        <v>552</v>
      </c>
      <c r="E239" s="30">
        <v>1</v>
      </c>
      <c r="F239" s="30">
        <v>5</v>
      </c>
      <c r="G239" s="30">
        <v>6</v>
      </c>
      <c r="H239" s="30">
        <v>60</v>
      </c>
      <c r="I239" s="30">
        <f>(8-1-0.75*2)*60*F239-K239-8*0.12*60</f>
        <v>519.9</v>
      </c>
      <c r="J239" s="30">
        <v>14</v>
      </c>
      <c r="K239" s="30">
        <f>(8-1-0.75*2)*0.65*60*F239</f>
        <v>1072.5</v>
      </c>
      <c r="L239" s="30">
        <v>4.01</v>
      </c>
      <c r="M239" s="30">
        <v>4.01</v>
      </c>
      <c r="N239" s="30">
        <v>10</v>
      </c>
      <c r="O239" s="30">
        <f>E239/F239</f>
        <v>0.2</v>
      </c>
      <c r="P239" s="30">
        <v>180</v>
      </c>
      <c r="Q239" s="30">
        <v>90</v>
      </c>
      <c r="R239" s="256">
        <v>90</v>
      </c>
      <c r="S239" s="256">
        <v>0.78</v>
      </c>
      <c r="T239" s="30">
        <f>ROUND((L239*I239+1.3*L239*K239+S239*H239),4)</f>
        <v>7722.5415000000003</v>
      </c>
      <c r="U239" s="30">
        <f>ROUND((M239*I239+1.3*M239*K239+S239*H239),4)</f>
        <v>7722.5415000000003</v>
      </c>
      <c r="V239" s="30">
        <f>ROUND((M239*I239+1.3*M239*K239+S239*H239),4)</f>
        <v>7722.5415000000003</v>
      </c>
      <c r="W239" s="30">
        <f>ROUND((L239*J239+1.3*L239*N239+S239*G239),4)</f>
        <v>112.95</v>
      </c>
      <c r="X239" s="30">
        <f>ROUND((M239*J239+1.3*M239*N239+S239*G239),4)</f>
        <v>112.95</v>
      </c>
      <c r="Y239" s="30">
        <f>ROUND((M239*J239+1.3*M239*N239+S239*G239),4)</f>
        <v>112.95</v>
      </c>
      <c r="Z239" s="257">
        <f>ROUND((P239*T239*F239*O239/1000000),4)</f>
        <v>1.3900999999999999</v>
      </c>
      <c r="AA239" s="257">
        <f>ROUND((Q239*U239*F239*O239/1000000),4)</f>
        <v>0.69499999999999995</v>
      </c>
      <c r="AB239" s="257">
        <f>ROUND((R239*V239*F239*O239/1000000),4)</f>
        <v>0.69499999999999995</v>
      </c>
      <c r="AC239" s="258" t="s">
        <v>165</v>
      </c>
      <c r="AD239" s="259" t="s">
        <v>144</v>
      </c>
      <c r="AE239" s="34">
        <f>ROUND((((X239*E239)/1800)*0.8),4)</f>
        <v>5.0200000000000002E-2</v>
      </c>
      <c r="AF239" s="34">
        <f>ROUND(((Z239+AA239+AB239)*0.8),4)</f>
        <v>2.2241</v>
      </c>
      <c r="AG239" s="254"/>
      <c r="AH239" s="254"/>
    </row>
    <row r="240" spans="1:34" s="61" customFormat="1" ht="15" customHeight="1" x14ac:dyDescent="0.25">
      <c r="A240" s="260"/>
      <c r="B240" s="1640"/>
      <c r="C240" s="261"/>
      <c r="D240" s="32"/>
      <c r="E240" s="32"/>
      <c r="F240" s="32"/>
      <c r="G240" s="32"/>
      <c r="H240" s="32"/>
      <c r="I240" s="32"/>
      <c r="J240" s="32"/>
      <c r="K240" s="32"/>
      <c r="L240" s="265"/>
      <c r="M240" s="265"/>
      <c r="N240" s="32"/>
      <c r="O240" s="32"/>
      <c r="P240" s="32"/>
      <c r="Q240" s="32"/>
      <c r="R240" s="32"/>
      <c r="S240" s="268"/>
      <c r="T240" s="32"/>
      <c r="U240" s="32"/>
      <c r="V240" s="32"/>
      <c r="W240" s="32"/>
      <c r="X240" s="32"/>
      <c r="Y240" s="32"/>
      <c r="Z240" s="32"/>
      <c r="AA240" s="32"/>
      <c r="AB240" s="32"/>
      <c r="AC240" s="258" t="s">
        <v>166</v>
      </c>
      <c r="AD240" s="259" t="s">
        <v>167</v>
      </c>
      <c r="AE240" s="34">
        <f>ROUND((((X239*E239)/1800)*0.13),4)</f>
        <v>8.2000000000000007E-3</v>
      </c>
      <c r="AF240" s="34">
        <f>ROUND(((Z239+AA239+AB239)*0.13),4)</f>
        <v>0.3614</v>
      </c>
      <c r="AG240" s="254"/>
      <c r="AH240" s="254"/>
    </row>
    <row r="241" spans="1:34" s="61" customFormat="1" ht="15" customHeight="1" x14ac:dyDescent="0.25">
      <c r="A241" s="260"/>
      <c r="B241" s="267" t="s">
        <v>582</v>
      </c>
      <c r="C241" s="269"/>
      <c r="D241" s="263"/>
      <c r="E241" s="32"/>
      <c r="F241" s="32"/>
      <c r="G241" s="32"/>
      <c r="H241" s="32"/>
      <c r="I241" s="32"/>
      <c r="J241" s="32"/>
      <c r="K241" s="32"/>
      <c r="L241" s="34">
        <v>0.31</v>
      </c>
      <c r="M241" s="34">
        <v>0.38</v>
      </c>
      <c r="N241" s="32"/>
      <c r="O241" s="32"/>
      <c r="P241" s="32"/>
      <c r="Q241" s="32"/>
      <c r="R241" s="32"/>
      <c r="S241" s="270">
        <v>0.16</v>
      </c>
      <c r="T241" s="30">
        <f>ROUND((L241*I239+1.3*L241*K239+S241*H239),4)</f>
        <v>602.98649999999998</v>
      </c>
      <c r="U241" s="30">
        <f>ROUND((M241*0.9*I239+1.3*M241*0.9*K239+S241*H239),4)</f>
        <v>664.23929999999996</v>
      </c>
      <c r="V241" s="30">
        <f>ROUND((M241*I239+1.3*M241*K239+S241*H239),4)</f>
        <v>736.97699999999998</v>
      </c>
      <c r="W241" s="30">
        <f>ROUND((L241*J239+1.3*L241*N239+S241*G239),4)</f>
        <v>9.33</v>
      </c>
      <c r="X241" s="30">
        <f>ROUND((M241*0.9*J239+1.3*M241*0.9*N239+S241*G239),4)</f>
        <v>10.194000000000001</v>
      </c>
      <c r="Y241" s="30">
        <f>ROUND((M241*J239+1.3*M241*N239+S241*G239),4)</f>
        <v>11.22</v>
      </c>
      <c r="Z241" s="257">
        <f>ROUND((P239*T241*F239*O239/1000000),4)</f>
        <v>0.1085</v>
      </c>
      <c r="AA241" s="257">
        <f>ROUND((Q239*U241*F239*O239/1000000),4)</f>
        <v>5.9799999999999999E-2</v>
      </c>
      <c r="AB241" s="257">
        <f>ROUND((R239*V241*F239*O239/1000000),4)</f>
        <v>6.6299999999999998E-2</v>
      </c>
      <c r="AC241" s="258" t="s">
        <v>547</v>
      </c>
      <c r="AD241" s="259" t="s">
        <v>169</v>
      </c>
      <c r="AE241" s="34">
        <f>ROUND((((X241*E239)/1800)),4)</f>
        <v>5.7000000000000002E-3</v>
      </c>
      <c r="AF241" s="34">
        <f>ROUND(((Z241+AA241+AB241)),5)</f>
        <v>0.2346</v>
      </c>
      <c r="AG241" s="254"/>
      <c r="AH241" s="254"/>
    </row>
    <row r="242" spans="1:34" s="61" customFormat="1" ht="15" customHeight="1" x14ac:dyDescent="0.25">
      <c r="A242" s="260"/>
      <c r="B242" s="261"/>
      <c r="C242" s="261"/>
      <c r="D242" s="32"/>
      <c r="E242" s="32"/>
      <c r="F242" s="32"/>
      <c r="G242" s="32"/>
      <c r="H242" s="32"/>
      <c r="I242" s="32"/>
      <c r="J242" s="32"/>
      <c r="K242" s="32"/>
      <c r="L242" s="34">
        <v>0.71</v>
      </c>
      <c r="M242" s="34">
        <v>0.85</v>
      </c>
      <c r="N242" s="32"/>
      <c r="O242" s="32"/>
      <c r="P242" s="32"/>
      <c r="Q242" s="32"/>
      <c r="R242" s="32"/>
      <c r="S242" s="271">
        <v>0.49</v>
      </c>
      <c r="T242" s="30">
        <f>ROUND((L242*I239+1.3*L242*K239+S242*H239),4)</f>
        <v>1388.4465</v>
      </c>
      <c r="U242" s="30">
        <f>ROUND((M242*0.9*I239+1.3*M242*0.9*K239+S242*H239),4)</f>
        <v>1493.7248</v>
      </c>
      <c r="V242" s="30">
        <f>ROUND((M242*I239+1.3*M242*K239+S242*H239),4)</f>
        <v>1656.4275</v>
      </c>
      <c r="W242" s="30">
        <f>ROUND((L242*J239+1.3*L242*N239+S242*G239),4)</f>
        <v>22.11</v>
      </c>
      <c r="X242" s="30">
        <f>ROUND((M242*0.9*J239+1.3*M242*0.9*N239+S242*G239),4)</f>
        <v>23.594999999999999</v>
      </c>
      <c r="Y242" s="30">
        <f>ROUND((M242*J239+1.3*N239+S242*G239),4)</f>
        <v>27.84</v>
      </c>
      <c r="Z242" s="257">
        <f>ROUND((P239*T242*F239*O239/1000000),4)</f>
        <v>0.24990000000000001</v>
      </c>
      <c r="AA242" s="257">
        <f>ROUND((Q239*U242*F239*O239/1000000),4)</f>
        <v>0.13439999999999999</v>
      </c>
      <c r="AB242" s="257">
        <f>ROUND((R239*V242*F239*O239/1000000),4)</f>
        <v>0.14910000000000001</v>
      </c>
      <c r="AC242" s="258" t="s">
        <v>548</v>
      </c>
      <c r="AD242" s="259" t="s">
        <v>549</v>
      </c>
      <c r="AE242" s="34">
        <f>ROUND((((X242*E239)/1800)),4)</f>
        <v>1.3100000000000001E-2</v>
      </c>
      <c r="AF242" s="34">
        <f>ROUND(((Z242+AA242+AB242)),4)</f>
        <v>0.53339999999999999</v>
      </c>
      <c r="AG242" s="254"/>
      <c r="AH242" s="254"/>
    </row>
    <row r="243" spans="1:34" s="61" customFormat="1" ht="15" customHeight="1" x14ac:dyDescent="0.25">
      <c r="A243" s="260"/>
      <c r="B243" s="261"/>
      <c r="C243" s="261"/>
      <c r="D243" s="32"/>
      <c r="E243" s="32"/>
      <c r="F243" s="32"/>
      <c r="G243" s="32"/>
      <c r="H243" s="32"/>
      <c r="I243" s="32"/>
      <c r="J243" s="32"/>
      <c r="K243" s="32"/>
      <c r="L243" s="34">
        <v>0.45</v>
      </c>
      <c r="M243" s="34">
        <v>0.67</v>
      </c>
      <c r="N243" s="32"/>
      <c r="O243" s="32"/>
      <c r="P243" s="32"/>
      <c r="Q243" s="32"/>
      <c r="R243" s="32"/>
      <c r="S243" s="271">
        <v>0.1</v>
      </c>
      <c r="T243" s="30">
        <f>ROUND((L243*I239+1.3*L243*K239+S243*H239),4)</f>
        <v>867.36749999999995</v>
      </c>
      <c r="U243" s="30">
        <f>ROUND((M243*0.9*I239+1.3*M243*0.9*K239+S243*H239),4)</f>
        <v>1160.2325000000001</v>
      </c>
      <c r="V243" s="30">
        <f>ROUND((M243*I239+1.3*M243*K239+S243*H239),4)</f>
        <v>1288.4804999999999</v>
      </c>
      <c r="W243" s="30">
        <f>ROUND((L243*J239+1.3*L243*N239+S243*G239),4)</f>
        <v>12.75</v>
      </c>
      <c r="X243" s="30">
        <f>ROUND((M243*0.9*J239+1.3*M243*0.9*N239+S243*G239),4)</f>
        <v>16.881</v>
      </c>
      <c r="Y243" s="30">
        <f>ROUND((M243*J239+1.3*M243*N239+S243*G239),4)</f>
        <v>18.690000000000001</v>
      </c>
      <c r="Z243" s="257">
        <f>ROUND((P239*T243*F239*O239/1000000),4)</f>
        <v>0.15609999999999999</v>
      </c>
      <c r="AA243" s="257">
        <f>ROUND((Q239*U243*F239*O239/1000000),4)</f>
        <v>0.10440000000000001</v>
      </c>
      <c r="AB243" s="257">
        <f>ROUND((R239*V243*F239*O239/1000000),4)</f>
        <v>0.11600000000000001</v>
      </c>
      <c r="AC243" s="258" t="s">
        <v>172</v>
      </c>
      <c r="AD243" s="259" t="s">
        <v>173</v>
      </c>
      <c r="AE243" s="34">
        <f>ROUND((((X243*E239)/1800)),4)</f>
        <v>9.4000000000000004E-3</v>
      </c>
      <c r="AF243" s="34">
        <f>ROUND(((Z243+AA243+AB243)),4)</f>
        <v>0.3765</v>
      </c>
      <c r="AG243" s="254"/>
      <c r="AH243" s="254"/>
    </row>
    <row r="244" spans="1:34" s="61" customFormat="1" ht="15" customHeight="1" x14ac:dyDescent="0.25">
      <c r="A244" s="260"/>
      <c r="B244" s="272"/>
      <c r="C244" s="272"/>
      <c r="D244" s="265"/>
      <c r="E244" s="265"/>
      <c r="F244" s="265"/>
      <c r="G244" s="265"/>
      <c r="H244" s="265"/>
      <c r="I244" s="265"/>
      <c r="J244" s="265"/>
      <c r="K244" s="265"/>
      <c r="L244" s="34">
        <v>2.09</v>
      </c>
      <c r="M244" s="34">
        <v>2.5499999999999998</v>
      </c>
      <c r="N244" s="265"/>
      <c r="O244" s="265"/>
      <c r="P244" s="265"/>
      <c r="Q244" s="265"/>
      <c r="R244" s="265"/>
      <c r="S244" s="271">
        <v>3.91</v>
      </c>
      <c r="T244" s="30">
        <f>ROUND((L244*I239+1.3*L244*K239+S244*H239),4)</f>
        <v>4235.1734999999999</v>
      </c>
      <c r="U244" s="30">
        <f>ROUND((M244*0.9*I239+1.3*M244*0.9*K239+S244*H239),4)</f>
        <v>4627.5743000000002</v>
      </c>
      <c r="V244" s="30">
        <f>ROUND((M244*I239+1.3*M244*K239+S244*H239),4)</f>
        <v>5115.6824999999999</v>
      </c>
      <c r="W244" s="30">
        <f>ROUND((L244*J239+1.3*L244*N239+S244*G239),4)</f>
        <v>79.89</v>
      </c>
      <c r="X244" s="30">
        <f>ROUND((M244*0.9*J239+1.3*M244*0.9*N239+S244*G239),4)</f>
        <v>85.424999999999997</v>
      </c>
      <c r="Y244" s="30">
        <f>ROUND((M244*J239+1.3*M244*N239+S244*G239),4)</f>
        <v>92.31</v>
      </c>
      <c r="Z244" s="257">
        <f>ROUND((P239*T244*F239*O239/1000000),4)</f>
        <v>0.76229999999999998</v>
      </c>
      <c r="AA244" s="257">
        <f>ROUND((Q239*U244*F239*O239/1000000),4)</f>
        <v>0.41649999999999998</v>
      </c>
      <c r="AB244" s="257">
        <f>ROUND((R239*V244*F239*O239/1000000),4)</f>
        <v>0.46039999999999998</v>
      </c>
      <c r="AC244" s="258" t="s">
        <v>157</v>
      </c>
      <c r="AD244" s="259" t="s">
        <v>153</v>
      </c>
      <c r="AE244" s="34">
        <f>ROUND((((X244*E239)/1800)),4)</f>
        <v>4.7500000000000001E-2</v>
      </c>
      <c r="AF244" s="34">
        <f>ROUND(((Z244+AA244+AB244)),4)</f>
        <v>1.6392</v>
      </c>
      <c r="AG244" s="254"/>
      <c r="AH244" s="254"/>
    </row>
    <row r="245" spans="1:34" s="61" customFormat="1" ht="15" customHeight="1" x14ac:dyDescent="0.25">
      <c r="A245" s="32"/>
      <c r="B245" s="273" t="s">
        <v>565</v>
      </c>
      <c r="C245" s="30">
        <v>1</v>
      </c>
      <c r="D245" s="30" t="s">
        <v>566</v>
      </c>
      <c r="E245" s="30">
        <v>2</v>
      </c>
      <c r="F245" s="30">
        <v>26</v>
      </c>
      <c r="G245" s="30">
        <v>6</v>
      </c>
      <c r="H245" s="30">
        <v>60</v>
      </c>
      <c r="I245" s="30">
        <f>(8-1-0.75*2)*60*F245-K245-8*0.12*60</f>
        <v>2945.4</v>
      </c>
      <c r="J245" s="30">
        <v>14</v>
      </c>
      <c r="K245" s="30">
        <f>(8-1-0.75*2)*0.65*60*F245</f>
        <v>5577</v>
      </c>
      <c r="L245" s="30">
        <v>0.47</v>
      </c>
      <c r="M245" s="30">
        <v>0.47</v>
      </c>
      <c r="N245" s="30">
        <v>10</v>
      </c>
      <c r="O245" s="30">
        <f>E245/F245</f>
        <v>7.6923076923076927E-2</v>
      </c>
      <c r="P245" s="30">
        <v>180</v>
      </c>
      <c r="Q245" s="30">
        <v>90</v>
      </c>
      <c r="R245" s="256">
        <v>90</v>
      </c>
      <c r="S245" s="256">
        <v>0.09</v>
      </c>
      <c r="T245" s="30">
        <f>ROUND((L245*I245+1.3*L245*K245+S245*H245),4)</f>
        <v>4797.2849999999999</v>
      </c>
      <c r="U245" s="30">
        <f>ROUND((M245*I245+1.3*M245*K245+S245*H245),4)</f>
        <v>4797.2849999999999</v>
      </c>
      <c r="V245" s="30">
        <f>ROUND((M245*I245+1.3*M245*K245+S245*H245),4)</f>
        <v>4797.2849999999999</v>
      </c>
      <c r="W245" s="30">
        <f>ROUND((L245*J245+1.3*L245*N245+S245*G245),4)</f>
        <v>13.23</v>
      </c>
      <c r="X245" s="30">
        <f>ROUND((M245*J245+1.3*M245*N245+S245*G245),4)</f>
        <v>13.23</v>
      </c>
      <c r="Y245" s="30">
        <f>ROUND((M245*J245+1.3*M245*N245+S245*G245),4)</f>
        <v>13.23</v>
      </c>
      <c r="Z245" s="257">
        <f>ROUND((P245*T245*F245*O245/1000000),4)</f>
        <v>1.7270000000000001</v>
      </c>
      <c r="AA245" s="257">
        <f>ROUND((Q245*U245*F245*O245/1000000),4)</f>
        <v>0.86350000000000005</v>
      </c>
      <c r="AB245" s="257">
        <f>ROUND((R245*V245*F245*O245/1000000),4)</f>
        <v>0.86350000000000005</v>
      </c>
      <c r="AC245" s="258" t="s">
        <v>165</v>
      </c>
      <c r="AD245" s="259" t="s">
        <v>144</v>
      </c>
      <c r="AE245" s="34">
        <f>ROUND((((X245*E245)/1800)*0.8),4)</f>
        <v>1.18E-2</v>
      </c>
      <c r="AF245" s="34">
        <f>ROUND(((Z245+AA245+AB245)*0.8),4)</f>
        <v>2.7631999999999999</v>
      </c>
    </row>
    <row r="246" spans="1:34" s="61" customFormat="1" ht="15" customHeight="1" x14ac:dyDescent="0.25">
      <c r="A246" s="32"/>
      <c r="B246" s="1640" t="s">
        <v>567</v>
      </c>
      <c r="C246" s="32"/>
      <c r="D246" s="32"/>
      <c r="E246" s="32"/>
      <c r="F246" s="32"/>
      <c r="G246" s="32"/>
      <c r="H246" s="32"/>
      <c r="I246" s="32"/>
      <c r="J246" s="32"/>
      <c r="K246" s="32"/>
      <c r="L246" s="265"/>
      <c r="M246" s="265"/>
      <c r="N246" s="32"/>
      <c r="O246" s="32"/>
      <c r="P246" s="32"/>
      <c r="Q246" s="32"/>
      <c r="R246" s="32"/>
      <c r="S246" s="268"/>
      <c r="T246" s="32"/>
      <c r="U246" s="32"/>
      <c r="V246" s="32"/>
      <c r="W246" s="32"/>
      <c r="X246" s="32"/>
      <c r="Y246" s="32"/>
      <c r="Z246" s="32"/>
      <c r="AA246" s="32"/>
      <c r="AB246" s="32"/>
      <c r="AC246" s="258" t="s">
        <v>166</v>
      </c>
      <c r="AD246" s="259" t="s">
        <v>167</v>
      </c>
      <c r="AE246" s="34">
        <f>ROUND((((X245*E245)/1800)*0.13),4)</f>
        <v>1.9E-3</v>
      </c>
      <c r="AF246" s="34">
        <f>ROUND(((Z245+AA245+AB245)*0.13),4)</f>
        <v>0.44900000000000001</v>
      </c>
    </row>
    <row r="247" spans="1:34" s="61" customFormat="1" ht="15" customHeight="1" x14ac:dyDescent="0.25">
      <c r="A247" s="32"/>
      <c r="B247" s="1640"/>
      <c r="C247" s="263"/>
      <c r="D247" s="263"/>
      <c r="E247" s="32"/>
      <c r="F247" s="32"/>
      <c r="G247" s="32"/>
      <c r="H247" s="32"/>
      <c r="I247" s="32"/>
      <c r="J247" s="32"/>
      <c r="K247" s="32"/>
      <c r="L247" s="34">
        <v>0.8</v>
      </c>
      <c r="M247" s="34">
        <v>0.98</v>
      </c>
      <c r="N247" s="32"/>
      <c r="O247" s="32"/>
      <c r="P247" s="32"/>
      <c r="Q247" s="32"/>
      <c r="R247" s="32"/>
      <c r="S247" s="270">
        <v>1.7999999999999999E-2</v>
      </c>
      <c r="T247" s="30">
        <f>ROUND((L247*I245+1.3*L247*K245+S247*H245),4)</f>
        <v>8157.48</v>
      </c>
      <c r="U247" s="30">
        <f>ROUND((M247*0.9*I245+1.3*M247*0.9*K245+S247*H245),4)</f>
        <v>8993.5110000000004</v>
      </c>
      <c r="V247" s="30">
        <f>ROUND((M247*I245+1.3*M247*K245+S247*H245),4)</f>
        <v>9992.67</v>
      </c>
      <c r="W247" s="30">
        <f>ROUND((L247*J245+1.3*L247*N245+S247*G245),4)</f>
        <v>21.707999999999998</v>
      </c>
      <c r="X247" s="30">
        <f>ROUND((M247*0.9*J245+1.3*M247*0.9*N245+S247*G245),4)</f>
        <v>23.922000000000001</v>
      </c>
      <c r="Y247" s="30">
        <f>ROUND((M247*J245+1.3*M247*N245+S247*G245),4)</f>
        <v>26.568000000000001</v>
      </c>
      <c r="Z247" s="257">
        <f>ROUND((P245*T247*F245*O245/1000000),4)</f>
        <v>2.9367000000000001</v>
      </c>
      <c r="AA247" s="257">
        <f>ROUND((Q245*U247*F245*O245/1000000),4)</f>
        <v>1.6188</v>
      </c>
      <c r="AB247" s="257">
        <f>ROUND((R245*V247*F245*O245/1000000),4)</f>
        <v>1.7987</v>
      </c>
      <c r="AC247" s="258" t="s">
        <v>547</v>
      </c>
      <c r="AD247" s="259" t="s">
        <v>169</v>
      </c>
      <c r="AE247" s="34">
        <f>ROUND((((X247*E245)/1800)),4)</f>
        <v>2.6599999999999999E-2</v>
      </c>
      <c r="AF247" s="34">
        <f>ROUND(((Z247+AA247+AB247)),5)</f>
        <v>6.3541999999999996</v>
      </c>
    </row>
    <row r="248" spans="1:34" s="61" customFormat="1" ht="15" customHeight="1" x14ac:dyDescent="0.25">
      <c r="A248" s="32"/>
      <c r="C248" s="32"/>
      <c r="D248" s="32"/>
      <c r="E248" s="32"/>
      <c r="F248" s="32"/>
      <c r="G248" s="32"/>
      <c r="H248" s="32"/>
      <c r="I248" s="32"/>
      <c r="J248" s="32"/>
      <c r="K248" s="32"/>
      <c r="L248" s="34">
        <v>0.08</v>
      </c>
      <c r="M248" s="34">
        <v>0.1</v>
      </c>
      <c r="N248" s="32"/>
      <c r="O248" s="32"/>
      <c r="P248" s="32"/>
      <c r="Q248" s="32"/>
      <c r="R248" s="32"/>
      <c r="S248" s="271">
        <v>0.06</v>
      </c>
      <c r="T248" s="30">
        <f>ROUND((L248*I245+1.3*L248*K245+S248*H245),4)</f>
        <v>819.24</v>
      </c>
      <c r="U248" s="30">
        <f>ROUND((M248*0.9*I245+1.3*M248*0.9*K245+S248*H245),4)</f>
        <v>921.19500000000005</v>
      </c>
      <c r="V248" s="30">
        <f>ROUND((M248*I245+1.3*M248*K245+S248*H245),4)</f>
        <v>1023.15</v>
      </c>
      <c r="W248" s="30">
        <f>ROUND((L248*J245+1.3*L248*N245+S248*G245),4)</f>
        <v>2.52</v>
      </c>
      <c r="X248" s="30">
        <f>ROUND((M248*0.9*J245+1.3*M248*0.9*N245+S248*G245),4)</f>
        <v>2.79</v>
      </c>
      <c r="Y248" s="30">
        <f>ROUND((M248*J245+1.3*N245+S248*G245),4)</f>
        <v>14.76</v>
      </c>
      <c r="Z248" s="257">
        <f>ROUND((P245*T248*F245*O245/1000000),4)</f>
        <v>0.2949</v>
      </c>
      <c r="AA248" s="257">
        <f>ROUND((Q245*U248*F245*O245/1000000),4)</f>
        <v>0.1658</v>
      </c>
      <c r="AB248" s="257">
        <f>ROUND((R245*V248*F245*O245/1000000),4)</f>
        <v>0.1842</v>
      </c>
      <c r="AC248" s="258" t="s">
        <v>548</v>
      </c>
      <c r="AD248" s="259" t="s">
        <v>549</v>
      </c>
      <c r="AE248" s="34">
        <f>ROUND((((X248*E245)/1800)),4)</f>
        <v>3.0999999999999999E-3</v>
      </c>
      <c r="AF248" s="34">
        <f>ROUND(((Z248+AA248+AB248)),4)</f>
        <v>0.64490000000000003</v>
      </c>
    </row>
    <row r="249" spans="1:34" s="61" customFormat="1" ht="15" customHeight="1" x14ac:dyDescent="0.25">
      <c r="A249" s="32"/>
      <c r="B249" s="261"/>
      <c r="C249" s="32"/>
      <c r="D249" s="32"/>
      <c r="E249" s="32"/>
      <c r="F249" s="32"/>
      <c r="G249" s="32"/>
      <c r="H249" s="32"/>
      <c r="I249" s="32"/>
      <c r="J249" s="32"/>
      <c r="K249" s="32"/>
      <c r="L249" s="34">
        <v>0.05</v>
      </c>
      <c r="M249" s="34">
        <v>7.0000000000000007E-2</v>
      </c>
      <c r="N249" s="32"/>
      <c r="O249" s="32"/>
      <c r="P249" s="32"/>
      <c r="Q249" s="32"/>
      <c r="R249" s="32"/>
      <c r="S249" s="271">
        <v>0.01</v>
      </c>
      <c r="T249" s="30">
        <f>ROUND((L249*I245+1.3*L249*K245+S249*H245),4)</f>
        <v>510.375</v>
      </c>
      <c r="U249" s="30">
        <f>ROUND((M249*0.9*I245+1.3*M249*0.9*K245+S249*H245),4)</f>
        <v>642.91650000000004</v>
      </c>
      <c r="V249" s="30">
        <f>ROUND((M249*I245+1.3*M249*K245+S249*H245),4)</f>
        <v>714.28499999999997</v>
      </c>
      <c r="W249" s="30">
        <f>ROUND((L249*J245+1.3*L249*N245+S249*G245),4)</f>
        <v>1.41</v>
      </c>
      <c r="X249" s="30">
        <f>ROUND((M249*0.9*J245+1.3*M249*0.9*N245+S249*G245),4)</f>
        <v>1.7609999999999999</v>
      </c>
      <c r="Y249" s="30">
        <f>ROUND((M249*J245+1.3*M249*N245+S249*G245),4)</f>
        <v>1.95</v>
      </c>
      <c r="Z249" s="257">
        <f>ROUND((P245*T249*F245*O245/1000000),4)</f>
        <v>0.1837</v>
      </c>
      <c r="AA249" s="257">
        <f>ROUND((Q245*U249*F245*O245/1000000),4)</f>
        <v>0.1157</v>
      </c>
      <c r="AB249" s="257">
        <f>ROUND((R245*V249*F245*O245/1000000),4)</f>
        <v>0.12859999999999999</v>
      </c>
      <c r="AC249" s="258" t="s">
        <v>172</v>
      </c>
      <c r="AD249" s="259" t="s">
        <v>173</v>
      </c>
      <c r="AE249" s="34">
        <f>ROUND((((X249*E245)/1800)),4)</f>
        <v>2E-3</v>
      </c>
      <c r="AF249" s="34">
        <f>ROUND(((Z249+AA249+AB249)),4)</f>
        <v>0.42799999999999999</v>
      </c>
    </row>
    <row r="250" spans="1:34" s="61" customFormat="1" ht="15" customHeight="1" x14ac:dyDescent="0.25">
      <c r="A250" s="32"/>
      <c r="B250" s="272"/>
      <c r="C250" s="265"/>
      <c r="D250" s="265"/>
      <c r="E250" s="265"/>
      <c r="F250" s="265"/>
      <c r="G250" s="265"/>
      <c r="H250" s="265"/>
      <c r="I250" s="265"/>
      <c r="J250" s="265"/>
      <c r="K250" s="265"/>
      <c r="L250" s="34">
        <v>3.5999999999999997E-2</v>
      </c>
      <c r="M250" s="34">
        <v>4.3999999999999997E-2</v>
      </c>
      <c r="N250" s="265"/>
      <c r="O250" s="265"/>
      <c r="P250" s="265"/>
      <c r="Q250" s="265"/>
      <c r="R250" s="265"/>
      <c r="S250" s="271">
        <v>0.45</v>
      </c>
      <c r="T250" s="30">
        <f>ROUND((L250*I245+1.3*L250*K245+S250*H245),4)</f>
        <v>394.03800000000001</v>
      </c>
      <c r="U250" s="30">
        <f>ROUND((M250*0.9*I245+1.3*M250*0.9*K245+S250*H245),4)</f>
        <v>430.74180000000001</v>
      </c>
      <c r="V250" s="30">
        <f>ROUND((M250*I245+1.3*M250*K245+S250*H245),4)</f>
        <v>475.60199999999998</v>
      </c>
      <c r="W250" s="30">
        <f>ROUND((L250*J245+1.3*L250*N245+S250*G245),4)</f>
        <v>3.6720000000000002</v>
      </c>
      <c r="X250" s="30">
        <f>ROUND((M250*0.9*J245+1.3*M250*0.9*N245+S250*G245),4)</f>
        <v>3.7692000000000001</v>
      </c>
      <c r="Y250" s="30">
        <f>ROUND((M250*J245+1.3*M250*N245+S250*G245),4)</f>
        <v>3.8879999999999999</v>
      </c>
      <c r="Z250" s="257">
        <f>ROUND((P245*T250*F245*O245/1000000),4)</f>
        <v>0.1419</v>
      </c>
      <c r="AA250" s="257">
        <f>ROUND((Q245*U250*F245*O245/1000000),4)</f>
        <v>7.7499999999999999E-2</v>
      </c>
      <c r="AB250" s="257">
        <f>ROUND((R245*V250*F245*O245/1000000),4)</f>
        <v>8.5599999999999996E-2</v>
      </c>
      <c r="AC250" s="258" t="s">
        <v>157</v>
      </c>
      <c r="AD250" s="259" t="s">
        <v>153</v>
      </c>
      <c r="AE250" s="34">
        <f>ROUND((((X250*E245)/1800)),4)</f>
        <v>4.1999999999999997E-3</v>
      </c>
      <c r="AF250" s="34">
        <f>ROUND(((Z250+AA250+AB250)),4)</f>
        <v>0.30499999999999999</v>
      </c>
    </row>
    <row r="251" spans="1:34" s="61" customFormat="1" ht="15" customHeight="1" x14ac:dyDescent="0.25">
      <c r="A251" s="260"/>
      <c r="B251" s="255" t="s">
        <v>583</v>
      </c>
      <c r="C251" s="255">
        <v>6</v>
      </c>
      <c r="D251" s="30" t="s">
        <v>556</v>
      </c>
      <c r="E251" s="30">
        <v>1</v>
      </c>
      <c r="F251" s="30">
        <v>1</v>
      </c>
      <c r="G251" s="30">
        <v>6</v>
      </c>
      <c r="H251" s="30">
        <v>60</v>
      </c>
      <c r="I251" s="30">
        <f>(8-1-0.75*2)*60*F251-K251-8*0.12*60</f>
        <v>57.900000000000006</v>
      </c>
      <c r="J251" s="30">
        <v>14</v>
      </c>
      <c r="K251" s="30">
        <f>(8-1-0.75*2)*0.65*60*F251</f>
        <v>214.5</v>
      </c>
      <c r="L251" s="30">
        <v>6.47</v>
      </c>
      <c r="M251" s="30">
        <v>6.47</v>
      </c>
      <c r="N251" s="30">
        <v>10</v>
      </c>
      <c r="O251" s="30">
        <f>E251/F251</f>
        <v>1</v>
      </c>
      <c r="P251" s="30">
        <v>180</v>
      </c>
      <c r="Q251" s="30">
        <v>90</v>
      </c>
      <c r="R251" s="256">
        <v>90</v>
      </c>
      <c r="S251" s="256">
        <v>1.27</v>
      </c>
      <c r="T251" s="30">
        <f>ROUND((L251*I251+1.3*L251*K251+S251*H251),4)</f>
        <v>2254.9724999999999</v>
      </c>
      <c r="U251" s="30">
        <f>ROUND((M251*I251+1.3*M251*K251+S251*H251),4)</f>
        <v>2254.9724999999999</v>
      </c>
      <c r="V251" s="30">
        <f>ROUND((M251*I251+1.3*M251*K251+S251*H251),4)</f>
        <v>2254.9724999999999</v>
      </c>
      <c r="W251" s="30">
        <f>ROUND((L251*J251+1.3*L251*N251+S251*G251),4)</f>
        <v>182.31</v>
      </c>
      <c r="X251" s="30">
        <f>ROUND((M251*J251+1.3*M251*N251+S251*G251),4)</f>
        <v>182.31</v>
      </c>
      <c r="Y251" s="30">
        <f>ROUND((M251*J251+1.3*M251*N251+S251*G251),4)</f>
        <v>182.31</v>
      </c>
      <c r="Z251" s="257">
        <f>ROUND((P251*T251*F251*O251/1000000),4)</f>
        <v>0.40589999999999998</v>
      </c>
      <c r="AA251" s="257">
        <f>ROUND((Q251*U251*F251*O251/1000000),4)</f>
        <v>0.2029</v>
      </c>
      <c r="AB251" s="257">
        <f>ROUND((R251*V251*F251*O251/1000000),4)</f>
        <v>0.2029</v>
      </c>
      <c r="AC251" s="258" t="s">
        <v>165</v>
      </c>
      <c r="AD251" s="259" t="s">
        <v>144</v>
      </c>
      <c r="AE251" s="34">
        <f>ROUND((((X251*E251)/1800)*0.8),4)</f>
        <v>8.1000000000000003E-2</v>
      </c>
      <c r="AF251" s="34">
        <f>ROUND(((Z251+AA251+AB251)*0.8),4)</f>
        <v>0.64939999999999998</v>
      </c>
      <c r="AG251" s="254"/>
      <c r="AH251" s="254"/>
    </row>
    <row r="252" spans="1:34" s="61" customFormat="1" ht="15" customHeight="1" x14ac:dyDescent="0.25">
      <c r="A252" s="260"/>
      <c r="B252" s="1640" t="s">
        <v>584</v>
      </c>
      <c r="C252" s="32"/>
      <c r="D252" s="32"/>
      <c r="E252" s="32"/>
      <c r="F252" s="32"/>
      <c r="G252" s="32"/>
      <c r="H252" s="32"/>
      <c r="I252" s="32"/>
      <c r="J252" s="32"/>
      <c r="K252" s="32"/>
      <c r="L252" s="265"/>
      <c r="M252" s="265"/>
      <c r="N252" s="32"/>
      <c r="O252" s="32"/>
      <c r="P252" s="32"/>
      <c r="Q252" s="32"/>
      <c r="R252" s="32"/>
      <c r="S252" s="268"/>
      <c r="T252" s="32"/>
      <c r="U252" s="32"/>
      <c r="V252" s="32"/>
      <c r="W252" s="32"/>
      <c r="X252" s="32"/>
      <c r="Y252" s="32"/>
      <c r="Z252" s="32"/>
      <c r="AA252" s="32"/>
      <c r="AB252" s="32"/>
      <c r="AC252" s="258" t="s">
        <v>166</v>
      </c>
      <c r="AD252" s="259" t="s">
        <v>167</v>
      </c>
      <c r="AE252" s="34">
        <f>ROUND((((X251*E251)/1800)*0.13),4)</f>
        <v>1.32E-2</v>
      </c>
      <c r="AF252" s="34">
        <f>ROUND(((Z251+AA251+AB251)*0.13),4)</f>
        <v>0.1055</v>
      </c>
      <c r="AG252" s="254"/>
      <c r="AH252" s="254"/>
    </row>
    <row r="253" spans="1:34" s="61" customFormat="1" ht="15" customHeight="1" x14ac:dyDescent="0.25">
      <c r="A253" s="260"/>
      <c r="B253" s="1640"/>
      <c r="C253" s="263"/>
      <c r="D253" s="263"/>
      <c r="E253" s="32"/>
      <c r="F253" s="32"/>
      <c r="G253" s="32"/>
      <c r="H253" s="32"/>
      <c r="I253" s="32"/>
      <c r="J253" s="32"/>
      <c r="K253" s="32"/>
      <c r="L253" s="34">
        <v>0.51</v>
      </c>
      <c r="M253" s="34">
        <v>0.63</v>
      </c>
      <c r="N253" s="32"/>
      <c r="O253" s="32"/>
      <c r="P253" s="32"/>
      <c r="Q253" s="32"/>
      <c r="R253" s="32"/>
      <c r="S253" s="270">
        <v>0.25</v>
      </c>
      <c r="T253" s="30">
        <f>ROUND((L253*I251+1.3*L253*K251+S253*H251),4)</f>
        <v>186.74250000000001</v>
      </c>
      <c r="U253" s="30">
        <f>ROUND((M253*0.9*I251+1.3*M253*0.9*K251+S253*H251),4)</f>
        <v>205.93729999999999</v>
      </c>
      <c r="V253" s="30">
        <f>ROUND((M253*I251+1.3*M253*K251+S253*H251),4)</f>
        <v>227.1525</v>
      </c>
      <c r="W253" s="30">
        <f>ROUND((L253*J251+1.3*L253*N251+S253*G251),4)</f>
        <v>15.27</v>
      </c>
      <c r="X253" s="30">
        <f>ROUND((M253*0.9*J251+1.3*M253*0.9*N251+S253*G251),4)</f>
        <v>16.809000000000001</v>
      </c>
      <c r="Y253" s="30">
        <f>ROUND((M253*J251+1.3*M253*N251+S253*G251),4)</f>
        <v>18.510000000000002</v>
      </c>
      <c r="Z253" s="257">
        <f>ROUND((P251*T253*F251*O251/1000000),4)</f>
        <v>3.3599999999999998E-2</v>
      </c>
      <c r="AA253" s="257">
        <f>ROUND((Q251*U253*F251*O251/1000000),4)</f>
        <v>1.8499999999999999E-2</v>
      </c>
      <c r="AB253" s="257">
        <f>ROUND((R251*V253*F251*O251/1000000),4)</f>
        <v>2.0400000000000001E-2</v>
      </c>
      <c r="AC253" s="258" t="s">
        <v>547</v>
      </c>
      <c r="AD253" s="259" t="s">
        <v>169</v>
      </c>
      <c r="AE253" s="34">
        <f>ROUND((((X253*E251)/1800)),4)</f>
        <v>9.2999999999999992E-3</v>
      </c>
      <c r="AF253" s="34">
        <f>ROUND(((Z253+AA253+AB253)),5)</f>
        <v>7.2499999999999995E-2</v>
      </c>
      <c r="AG253" s="254"/>
      <c r="AH253" s="254"/>
    </row>
    <row r="254" spans="1:34" s="61" customFormat="1" ht="15" customHeight="1" x14ac:dyDescent="0.25">
      <c r="A254" s="260"/>
      <c r="B254" s="261"/>
      <c r="C254" s="32"/>
      <c r="D254" s="32"/>
      <c r="E254" s="32"/>
      <c r="F254" s="32"/>
      <c r="G254" s="32"/>
      <c r="H254" s="32"/>
      <c r="I254" s="32"/>
      <c r="J254" s="32"/>
      <c r="K254" s="32"/>
      <c r="L254" s="34">
        <v>1.1399999999999999</v>
      </c>
      <c r="M254" s="34">
        <v>1.37</v>
      </c>
      <c r="N254" s="32"/>
      <c r="O254" s="32"/>
      <c r="P254" s="32"/>
      <c r="Q254" s="32"/>
      <c r="R254" s="32"/>
      <c r="S254" s="271">
        <v>0.79</v>
      </c>
      <c r="T254" s="30">
        <f>ROUND((L254*I251+1.3*L254*K251+S254*H251),4)</f>
        <v>431.29500000000002</v>
      </c>
      <c r="U254" s="30">
        <f>ROUND((M254*0.9*I251+1.3*M254*0.9*K251+S254*H251),4)</f>
        <v>462.61279999999999</v>
      </c>
      <c r="V254" s="30">
        <f>ROUND((M254*I251+1.3*M254*K251+S254*H251),4)</f>
        <v>508.7475</v>
      </c>
      <c r="W254" s="30">
        <f>ROUND((L254*J251+1.3*L254*N251+S254*G251),4)</f>
        <v>35.520000000000003</v>
      </c>
      <c r="X254" s="30">
        <f>ROUND((M254*0.9*J251+1.3*M254*0.9*N251+S254*G251),4)</f>
        <v>38.030999999999999</v>
      </c>
      <c r="Y254" s="30">
        <f>ROUND((M254*J251+1.3*N251+S254*G251),4)</f>
        <v>36.92</v>
      </c>
      <c r="Z254" s="257">
        <f>ROUND((P251*T254*F251*O251/1000000),4)</f>
        <v>7.7600000000000002E-2</v>
      </c>
      <c r="AA254" s="257">
        <f>ROUND((Q251*U254*F251*O251/1000000),4)</f>
        <v>4.1599999999999998E-2</v>
      </c>
      <c r="AB254" s="257">
        <f>ROUND((R251*V254*F251*O251/1000000),4)</f>
        <v>4.58E-2</v>
      </c>
      <c r="AC254" s="258" t="s">
        <v>548</v>
      </c>
      <c r="AD254" s="259" t="s">
        <v>549</v>
      </c>
      <c r="AE254" s="34">
        <f>ROUND((((X254*E251)/1800)),4)</f>
        <v>2.1100000000000001E-2</v>
      </c>
      <c r="AF254" s="34">
        <f>ROUND(((Z254+AA254+AB254)),4)</f>
        <v>0.16500000000000001</v>
      </c>
      <c r="AG254" s="254"/>
      <c r="AH254" s="254"/>
    </row>
    <row r="255" spans="1:34" s="61" customFormat="1" ht="15" customHeight="1" x14ac:dyDescent="0.25">
      <c r="A255" s="260"/>
      <c r="B255" s="261"/>
      <c r="C255" s="32"/>
      <c r="D255" s="32"/>
      <c r="E255" s="32"/>
      <c r="F255" s="32"/>
      <c r="G255" s="32"/>
      <c r="H255" s="32"/>
      <c r="I255" s="32"/>
      <c r="J255" s="32"/>
      <c r="K255" s="32"/>
      <c r="L255" s="34">
        <v>0.72</v>
      </c>
      <c r="M255" s="34">
        <v>1.08</v>
      </c>
      <c r="N255" s="32"/>
      <c r="O255" s="32"/>
      <c r="P255" s="32"/>
      <c r="Q255" s="32"/>
      <c r="R255" s="32"/>
      <c r="S255" s="271">
        <v>0.17</v>
      </c>
      <c r="T255" s="30">
        <f>ROUND((L255*I251+1.3*L255*K251+S255*H251),4)</f>
        <v>252.66</v>
      </c>
      <c r="U255" s="30">
        <f>ROUND((M255*0.9*I251+1.3*M255*0.9*K251+S255*H251),4)</f>
        <v>337.52100000000002</v>
      </c>
      <c r="V255" s="30">
        <f>ROUND((M255*I251+1.3*M255*K251+S255*H251),4)</f>
        <v>373.89</v>
      </c>
      <c r="W255" s="30">
        <f>ROUND((L255*J251+1.3*L255*N251+S255*G251),4)</f>
        <v>20.46</v>
      </c>
      <c r="X255" s="30">
        <f>ROUND((M255*0.9*J251+1.3*M255*0.9*N251+S255*G251),4)</f>
        <v>27.263999999999999</v>
      </c>
      <c r="Y255" s="30">
        <f>ROUND((M255*J251+1.3*M255*N251+S255*G251),4)</f>
        <v>30.18</v>
      </c>
      <c r="Z255" s="257">
        <f>ROUND((P251*T255*F251*O251/1000000),4)</f>
        <v>4.5499999999999999E-2</v>
      </c>
      <c r="AA255" s="257">
        <f>ROUND((Q251*U255*F251*O251/1000000),4)</f>
        <v>3.04E-2</v>
      </c>
      <c r="AB255" s="257">
        <f>ROUND((R251*V255*F251*O251/1000000),4)</f>
        <v>3.3700000000000001E-2</v>
      </c>
      <c r="AC255" s="258" t="s">
        <v>172</v>
      </c>
      <c r="AD255" s="259" t="s">
        <v>173</v>
      </c>
      <c r="AE255" s="34">
        <f>ROUND((((X255*E251)/1800)),4)</f>
        <v>1.5100000000000001E-2</v>
      </c>
      <c r="AF255" s="34">
        <f>ROUND(((Z255+AA255+AB255)),4)</f>
        <v>0.1096</v>
      </c>
      <c r="AG255" s="254"/>
      <c r="AH255" s="254"/>
    </row>
    <row r="256" spans="1:34" s="61" customFormat="1" ht="15" customHeight="1" x14ac:dyDescent="0.25">
      <c r="A256" s="260"/>
      <c r="B256" s="272"/>
      <c r="C256" s="265"/>
      <c r="D256" s="265"/>
      <c r="E256" s="265"/>
      <c r="F256" s="265"/>
      <c r="G256" s="265"/>
      <c r="H256" s="265"/>
      <c r="I256" s="265"/>
      <c r="J256" s="265"/>
      <c r="K256" s="265"/>
      <c r="L256" s="34">
        <v>3.37</v>
      </c>
      <c r="M256" s="34">
        <v>4.1100000000000003</v>
      </c>
      <c r="N256" s="265"/>
      <c r="O256" s="265"/>
      <c r="P256" s="265"/>
      <c r="Q256" s="265"/>
      <c r="R256" s="265"/>
      <c r="S256" s="271">
        <v>6.31</v>
      </c>
      <c r="T256" s="30">
        <f>ROUND((L256*I251+1.3*L256*K251+S256*H251),4)</f>
        <v>1513.4475</v>
      </c>
      <c r="U256" s="30">
        <f>ROUND((M256*0.9*I251+1.3*M256*0.9*K251+S256*H251),4)</f>
        <v>1624.2383</v>
      </c>
      <c r="V256" s="30">
        <f>ROUND((M256*I251+1.3*M256*K251+S256*H251),4)</f>
        <v>1762.6424999999999</v>
      </c>
      <c r="W256" s="30">
        <f>ROUND((L256*J251+1.3*L256*N251+S256*G251),4)</f>
        <v>128.85</v>
      </c>
      <c r="X256" s="30">
        <f>ROUND((M256*0.9*J251+1.3*M256*0.9*N251+S256*G251),4)</f>
        <v>137.733</v>
      </c>
      <c r="Y256" s="30">
        <f>ROUND((M256*J251+1.3*M256*N251+S256*G251),4)</f>
        <v>148.83000000000001</v>
      </c>
      <c r="Z256" s="257">
        <f>ROUND((P251*T256*F251*O251/1000000),4)</f>
        <v>0.27239999999999998</v>
      </c>
      <c r="AA256" s="257">
        <f>ROUND((Q251*U256*F251*O251/1000000),4)</f>
        <v>0.1462</v>
      </c>
      <c r="AB256" s="257">
        <f>ROUND((R251*V256*F251*O251/1000000),4)</f>
        <v>0.15859999999999999</v>
      </c>
      <c r="AC256" s="258" t="s">
        <v>157</v>
      </c>
      <c r="AD256" s="259" t="s">
        <v>153</v>
      </c>
      <c r="AE256" s="34">
        <f>ROUND((((X256*E251)/1800)),4)</f>
        <v>7.6499999999999999E-2</v>
      </c>
      <c r="AF256" s="34">
        <f>ROUND(((Z256+AA256+AB256)),4)</f>
        <v>0.57720000000000005</v>
      </c>
      <c r="AG256" s="254"/>
      <c r="AH256" s="254"/>
    </row>
    <row r="257" spans="1:35" s="61" customFormat="1" ht="15" customHeight="1" x14ac:dyDescent="0.25">
      <c r="A257" s="260"/>
      <c r="B257" s="287" t="s">
        <v>595</v>
      </c>
      <c r="C257" s="274">
        <v>7</v>
      </c>
      <c r="D257" s="38" t="s">
        <v>560</v>
      </c>
      <c r="E257" s="38">
        <v>1</v>
      </c>
      <c r="F257" s="38">
        <v>1</v>
      </c>
      <c r="G257" s="38">
        <v>6</v>
      </c>
      <c r="H257" s="38">
        <v>60</v>
      </c>
      <c r="I257" s="38">
        <f>(8-1-0.75*2)*60*F257-K257-8*0.12*60</f>
        <v>57.900000000000006</v>
      </c>
      <c r="J257" s="38">
        <v>14</v>
      </c>
      <c r="K257" s="38">
        <f>(8-1-0.75*2)*0.65*60*F257</f>
        <v>214.5</v>
      </c>
      <c r="L257" s="38">
        <v>10.16</v>
      </c>
      <c r="M257" s="38">
        <v>10.16</v>
      </c>
      <c r="N257" s="38">
        <v>10</v>
      </c>
      <c r="O257" s="38">
        <f>E257/F257</f>
        <v>1</v>
      </c>
      <c r="P257" s="38">
        <v>180</v>
      </c>
      <c r="Q257" s="38">
        <v>90</v>
      </c>
      <c r="R257" s="275">
        <v>90</v>
      </c>
      <c r="S257" s="275">
        <v>1.99</v>
      </c>
      <c r="T257" s="38">
        <f>ROUND((L257*I257+1.3*L257*K257+S257*H257),4)</f>
        <v>3540.78</v>
      </c>
      <c r="U257" s="38">
        <f>ROUND((M257*I257+1.3*M257*K257+S257*H257),4)</f>
        <v>3540.78</v>
      </c>
      <c r="V257" s="38">
        <f>ROUND((M257*I257+1.3*M257*K257+S257*H257),4)</f>
        <v>3540.78</v>
      </c>
      <c r="W257" s="38">
        <f>ROUND((L257*J257+1.3*L257*N257+S257*G257),4)</f>
        <v>286.26</v>
      </c>
      <c r="X257" s="38">
        <f>ROUND((M257*J257+1.3*M257*N257+S257*G257),4)</f>
        <v>286.26</v>
      </c>
      <c r="Y257" s="38">
        <f>ROUND((M257*J257+1.3*M257*N257+S257*G257),4)</f>
        <v>286.26</v>
      </c>
      <c r="Z257" s="276">
        <f>ROUND((P257*T257*F257*O257/1000000),4)</f>
        <v>0.63729999999999998</v>
      </c>
      <c r="AA257" s="276">
        <f>ROUND((Q257*U257*F257*O257/1000000),4)</f>
        <v>0.31869999999999998</v>
      </c>
      <c r="AB257" s="276">
        <f>ROUND((R257*V257*F257*O257/1000000),4)</f>
        <v>0.31869999999999998</v>
      </c>
      <c r="AC257" s="277" t="s">
        <v>165</v>
      </c>
      <c r="AD257" s="278" t="s">
        <v>144</v>
      </c>
      <c r="AE257" s="40">
        <f>ROUND((((X257*E257)/1800)*0.8),4)</f>
        <v>0.12720000000000001</v>
      </c>
      <c r="AF257" s="40">
        <f>ROUND(((Z257+AA257+AB257)*0.8),4)</f>
        <v>1.0198</v>
      </c>
      <c r="AG257" s="288"/>
      <c r="AH257" s="288"/>
      <c r="AI257" s="288"/>
    </row>
    <row r="258" spans="1:35" s="61" customFormat="1" ht="15" customHeight="1" x14ac:dyDescent="0.25">
      <c r="A258" s="260"/>
      <c r="B258" s="280" t="s">
        <v>596</v>
      </c>
      <c r="C258" s="39"/>
      <c r="D258" s="39"/>
      <c r="E258" s="39"/>
      <c r="F258" s="39"/>
      <c r="G258" s="39"/>
      <c r="H258" s="39"/>
      <c r="I258" s="39"/>
      <c r="J258" s="39"/>
      <c r="K258" s="39"/>
      <c r="L258" s="119"/>
      <c r="M258" s="119"/>
      <c r="N258" s="39"/>
      <c r="O258" s="39"/>
      <c r="P258" s="39"/>
      <c r="Q258" s="39"/>
      <c r="R258" s="39"/>
      <c r="S258" s="281"/>
      <c r="T258" s="39"/>
      <c r="U258" s="39"/>
      <c r="V258" s="39"/>
      <c r="W258" s="39"/>
      <c r="X258" s="39"/>
      <c r="Y258" s="39"/>
      <c r="Z258" s="39"/>
      <c r="AA258" s="39"/>
      <c r="AB258" s="39"/>
      <c r="AC258" s="277" t="s">
        <v>166</v>
      </c>
      <c r="AD258" s="278" t="s">
        <v>167</v>
      </c>
      <c r="AE258" s="40">
        <f>ROUND((((X257*E257)/1800)*0.13),4)</f>
        <v>2.07E-2</v>
      </c>
      <c r="AF258" s="40">
        <f>ROUND(((Z257+AA257+AB257)*0.13),4)</f>
        <v>0.16569999999999999</v>
      </c>
      <c r="AG258" s="288"/>
      <c r="AH258" s="288"/>
      <c r="AI258" s="288"/>
    </row>
    <row r="259" spans="1:35" s="61" customFormat="1" ht="15" customHeight="1" x14ac:dyDescent="0.25">
      <c r="A259" s="260"/>
      <c r="B259" s="288"/>
      <c r="C259" s="283"/>
      <c r="D259" s="283"/>
      <c r="E259" s="39"/>
      <c r="F259" s="39"/>
      <c r="G259" s="39"/>
      <c r="H259" s="39"/>
      <c r="I259" s="39"/>
      <c r="J259" s="39"/>
      <c r="K259" s="39"/>
      <c r="L259" s="40">
        <v>0.8</v>
      </c>
      <c r="M259" s="40">
        <v>0.98</v>
      </c>
      <c r="N259" s="39"/>
      <c r="O259" s="39"/>
      <c r="P259" s="39"/>
      <c r="Q259" s="39"/>
      <c r="R259" s="39"/>
      <c r="S259" s="284">
        <v>0.39</v>
      </c>
      <c r="T259" s="38">
        <f>ROUND((L259*I257+1.3*L259*K257+S259*H257),4)</f>
        <v>292.8</v>
      </c>
      <c r="U259" s="38">
        <f>ROUND((M259*0.9*I257+1.3*M259*0.9*K257+S259*H257),4)</f>
        <v>320.4135</v>
      </c>
      <c r="V259" s="38">
        <f>ROUND((M259*I257+1.3*M259*K257+S259*H257),4)</f>
        <v>353.41500000000002</v>
      </c>
      <c r="W259" s="38">
        <f>ROUND((L259*J257+1.3*L259*N257+S259*G257),4)</f>
        <v>23.94</v>
      </c>
      <c r="X259" s="38">
        <f>ROUND((M259*0.9*J257+1.3*M259*0.9*N257+S259*G257),4)</f>
        <v>26.154</v>
      </c>
      <c r="Y259" s="38">
        <f>ROUND((M259*J257+1.3*M259*N257+S259*G257),4)</f>
        <v>28.8</v>
      </c>
      <c r="Z259" s="276">
        <f>ROUND((P257*T259*F257*O257/1000000),4)</f>
        <v>5.2699999999999997E-2</v>
      </c>
      <c r="AA259" s="276">
        <f>ROUND((Q257*U259*F257*O257/1000000),4)</f>
        <v>2.8799999999999999E-2</v>
      </c>
      <c r="AB259" s="276">
        <f>ROUND((R257*V259*F257*O257/1000000),4)</f>
        <v>3.1800000000000002E-2</v>
      </c>
      <c r="AC259" s="277" t="s">
        <v>547</v>
      </c>
      <c r="AD259" s="278" t="s">
        <v>169</v>
      </c>
      <c r="AE259" s="40">
        <f>ROUND((((X259*E257)/1800)),4)</f>
        <v>1.4500000000000001E-2</v>
      </c>
      <c r="AF259" s="40">
        <f>ROUND(((Z259+AA259+AB259)),5)</f>
        <v>0.1133</v>
      </c>
      <c r="AG259" s="288"/>
      <c r="AH259" s="288"/>
      <c r="AI259" s="288"/>
    </row>
    <row r="260" spans="1:35" s="61" customFormat="1" ht="15" customHeight="1" x14ac:dyDescent="0.25">
      <c r="A260" s="260"/>
      <c r="B260" s="288"/>
      <c r="C260" s="39"/>
      <c r="D260" s="39"/>
      <c r="E260" s="39"/>
      <c r="F260" s="39"/>
      <c r="G260" s="39"/>
      <c r="H260" s="39"/>
      <c r="I260" s="39"/>
      <c r="J260" s="39"/>
      <c r="K260" s="39"/>
      <c r="L260" s="40">
        <v>1.79</v>
      </c>
      <c r="M260" s="40">
        <v>2.15</v>
      </c>
      <c r="N260" s="39"/>
      <c r="O260" s="39"/>
      <c r="P260" s="39"/>
      <c r="Q260" s="39"/>
      <c r="R260" s="39"/>
      <c r="S260" s="285">
        <v>1.24</v>
      </c>
      <c r="T260" s="38">
        <f>ROUND((L260*I257+1.3*L260*K257+S260*H257),4)</f>
        <v>677.1825</v>
      </c>
      <c r="U260" s="38">
        <f>ROUND((M260*0.9*I257+1.3*M260*0.9*K257+S260*H257),4)</f>
        <v>726.01130000000001</v>
      </c>
      <c r="V260" s="38">
        <f>ROUND((M260*I257+1.3*M260*K257+S260*H257),4)</f>
        <v>798.41250000000002</v>
      </c>
      <c r="W260" s="38">
        <f>ROUND((L260*J257+1.3*L260*N257+S260*G257),4)</f>
        <v>55.77</v>
      </c>
      <c r="X260" s="38">
        <f>ROUND((M260*0.9*J257+1.3*M260*0.9*N257+S260*G257),4)</f>
        <v>59.685000000000002</v>
      </c>
      <c r="Y260" s="38">
        <f>ROUND((M260*J257+1.3*N257+S260*G257),4)</f>
        <v>50.54</v>
      </c>
      <c r="Z260" s="276">
        <f>ROUND((P257*T260*F257*O257/1000000),4)</f>
        <v>0.12189999999999999</v>
      </c>
      <c r="AA260" s="276">
        <f>ROUND((Q257*U260*F257*O257/1000000),4)</f>
        <v>6.5299999999999997E-2</v>
      </c>
      <c r="AB260" s="276">
        <f>ROUND((R257*V260*F257*O257/1000000),4)</f>
        <v>7.1900000000000006E-2</v>
      </c>
      <c r="AC260" s="277" t="s">
        <v>548</v>
      </c>
      <c r="AD260" s="278" t="s">
        <v>549</v>
      </c>
      <c r="AE260" s="40">
        <f>ROUND((((X260*E257)/1800)),4)</f>
        <v>3.32E-2</v>
      </c>
      <c r="AF260" s="40">
        <f>ROUND(((Z260+AA260+AB260)),4)</f>
        <v>0.2591</v>
      </c>
      <c r="AG260" s="288"/>
      <c r="AH260" s="288"/>
      <c r="AI260" s="288"/>
    </row>
    <row r="261" spans="1:35" s="61" customFormat="1" ht="15" customHeight="1" x14ac:dyDescent="0.25">
      <c r="A261" s="260"/>
      <c r="B261" s="280"/>
      <c r="C261" s="39"/>
      <c r="D261" s="39"/>
      <c r="E261" s="39"/>
      <c r="F261" s="39"/>
      <c r="G261" s="39"/>
      <c r="H261" s="39"/>
      <c r="I261" s="39"/>
      <c r="J261" s="39"/>
      <c r="K261" s="39"/>
      <c r="L261" s="40">
        <v>1.1299999999999999</v>
      </c>
      <c r="M261" s="40">
        <v>1.7</v>
      </c>
      <c r="N261" s="39"/>
      <c r="O261" s="39"/>
      <c r="P261" s="39"/>
      <c r="Q261" s="39"/>
      <c r="R261" s="39"/>
      <c r="S261" s="285">
        <v>0.26</v>
      </c>
      <c r="T261" s="38">
        <f>ROUND((L261*I257+1.3*L261*K257+S261*H257),4)</f>
        <v>396.1275</v>
      </c>
      <c r="U261" s="38">
        <f>ROUND((M261*0.9*I257+1.3*M261*0.9*K257+S261*H257),4)</f>
        <v>530.82749999999999</v>
      </c>
      <c r="V261" s="38">
        <f>ROUND((M261*I257+1.3*M261*K257+S261*H257),4)</f>
        <v>588.07500000000005</v>
      </c>
      <c r="W261" s="38">
        <f>ROUND((L261*J257+1.3*L261*N257+S261*G257),4)</f>
        <v>32.07</v>
      </c>
      <c r="X261" s="38">
        <f>ROUND((M261*0.9*J257+1.3*M261*0.9*N257+S261*G257),4)</f>
        <v>42.87</v>
      </c>
      <c r="Y261" s="38">
        <f>ROUND((M261*J257+1.3*M261*N257+S261*G257),4)</f>
        <v>47.46</v>
      </c>
      <c r="Z261" s="276">
        <f>ROUND((P257*T261*F257*O257/1000000),4)</f>
        <v>7.1300000000000002E-2</v>
      </c>
      <c r="AA261" s="276">
        <f>ROUND((Q257*U261*F257*O257/1000000),4)</f>
        <v>4.7800000000000002E-2</v>
      </c>
      <c r="AB261" s="276">
        <f>ROUND((R257*V261*F257*O257/1000000),4)</f>
        <v>5.2900000000000003E-2</v>
      </c>
      <c r="AC261" s="277" t="s">
        <v>172</v>
      </c>
      <c r="AD261" s="278" t="s">
        <v>173</v>
      </c>
      <c r="AE261" s="40">
        <f>ROUND((((X261*E257)/1800)),4)</f>
        <v>2.3800000000000002E-2</v>
      </c>
      <c r="AF261" s="40">
        <f>ROUND(((Z261+AA261+AB261)),4)</f>
        <v>0.17199999999999999</v>
      </c>
      <c r="AG261" s="288"/>
      <c r="AH261" s="288"/>
      <c r="AI261" s="288"/>
    </row>
    <row r="262" spans="1:35" s="61" customFormat="1" ht="15" customHeight="1" x14ac:dyDescent="0.25">
      <c r="A262" s="260"/>
      <c r="B262" s="286"/>
      <c r="C262" s="119"/>
      <c r="D262" s="119"/>
      <c r="E262" s="119"/>
      <c r="F262" s="119"/>
      <c r="G262" s="119"/>
      <c r="H262" s="119"/>
      <c r="I262" s="119"/>
      <c r="J262" s="119"/>
      <c r="K262" s="119"/>
      <c r="L262" s="40">
        <v>5.3</v>
      </c>
      <c r="M262" s="40">
        <v>6.47</v>
      </c>
      <c r="N262" s="119"/>
      <c r="O262" s="119"/>
      <c r="P262" s="119"/>
      <c r="Q262" s="119"/>
      <c r="R262" s="119"/>
      <c r="S262" s="285">
        <v>9.92</v>
      </c>
      <c r="T262" s="38">
        <f>ROUND((L262*I257+1.3*L262*K257+S262*H257),4)</f>
        <v>2379.9749999999999</v>
      </c>
      <c r="U262" s="38">
        <f>ROUND((M262*0.9*I257+1.3*M262*0.9*K257+S262*H257),4)</f>
        <v>2556.0953</v>
      </c>
      <c r="V262" s="38">
        <f>ROUND((M262*I257+1.3*M262*K257+S262*H257),4)</f>
        <v>2773.9724999999999</v>
      </c>
      <c r="W262" s="38">
        <f>ROUND((L262*J257+1.3*L262*N257+S262*G257),4)</f>
        <v>202.62</v>
      </c>
      <c r="X262" s="38">
        <f>ROUND((M262*0.9*J257+1.3*M262*0.9*N257+S262*G257),4)</f>
        <v>216.74100000000001</v>
      </c>
      <c r="Y262" s="38">
        <f>ROUND((M262*J257+1.3*M262*N257+S262*G257),4)</f>
        <v>234.21</v>
      </c>
      <c r="Z262" s="276">
        <f>ROUND((P257*T262*F257*O257/1000000),4)</f>
        <v>0.4284</v>
      </c>
      <c r="AA262" s="276">
        <f>ROUND((Q257*U262*F257*O257/1000000),4)</f>
        <v>0.23</v>
      </c>
      <c r="AB262" s="276">
        <f>ROUND((R257*V262*F257*O257/1000000),4)</f>
        <v>0.24970000000000001</v>
      </c>
      <c r="AC262" s="277" t="s">
        <v>157</v>
      </c>
      <c r="AD262" s="278" t="s">
        <v>153</v>
      </c>
      <c r="AE262" s="40">
        <f>ROUND((((X262*E257)/1800)),4)</f>
        <v>0.12039999999999999</v>
      </c>
      <c r="AF262" s="40">
        <f>ROUND(((Z262+AA262+AB262)),4)</f>
        <v>0.90810000000000002</v>
      </c>
      <c r="AG262" s="288"/>
      <c r="AH262" s="288"/>
      <c r="AI262" s="288"/>
    </row>
    <row r="263" spans="1:35" s="61" customFormat="1" ht="15" customHeight="1" x14ac:dyDescent="0.25">
      <c r="A263" s="260"/>
      <c r="B263" s="1478" t="s">
        <v>597</v>
      </c>
      <c r="C263" s="255">
        <v>5</v>
      </c>
      <c r="D263" s="30" t="s">
        <v>552</v>
      </c>
      <c r="E263" s="30">
        <v>1</v>
      </c>
      <c r="F263" s="30">
        <v>1</v>
      </c>
      <c r="G263" s="30">
        <v>6</v>
      </c>
      <c r="H263" s="30">
        <v>60</v>
      </c>
      <c r="I263" s="30">
        <f>(8-1-0.75*2)*60*F263-K263-8*0.12*60</f>
        <v>57.900000000000006</v>
      </c>
      <c r="J263" s="30">
        <v>14</v>
      </c>
      <c r="K263" s="30">
        <f>(8-1-0.75*2)*0.65*60*F263</f>
        <v>214.5</v>
      </c>
      <c r="L263" s="30">
        <v>4.01</v>
      </c>
      <c r="M263" s="30">
        <v>4.01</v>
      </c>
      <c r="N263" s="30">
        <v>10</v>
      </c>
      <c r="O263" s="30">
        <f>E263/F263</f>
        <v>1</v>
      </c>
      <c r="P263" s="30">
        <v>180</v>
      </c>
      <c r="Q263" s="30">
        <v>90</v>
      </c>
      <c r="R263" s="256">
        <v>90</v>
      </c>
      <c r="S263" s="256">
        <v>0.78</v>
      </c>
      <c r="T263" s="30">
        <f>ROUND((L263*I263+1.3*L263*K263+S263*H263),4)</f>
        <v>1397.1675</v>
      </c>
      <c r="U263" s="30">
        <f>ROUND((M263*I263+1.3*M263*K263+S263*H263),4)</f>
        <v>1397.1675</v>
      </c>
      <c r="V263" s="30">
        <f>ROUND((M263*I263+1.3*M263*K263+S263*H263),4)</f>
        <v>1397.1675</v>
      </c>
      <c r="W263" s="30">
        <f>ROUND((L263*J263+1.3*L263*N263+S263*G263),4)</f>
        <v>112.95</v>
      </c>
      <c r="X263" s="30">
        <f>ROUND((M263*J263+1.3*M263*N263+S263*G263),4)</f>
        <v>112.95</v>
      </c>
      <c r="Y263" s="30">
        <f>ROUND((M263*J263+1.3*M263*N263+S263*G263),4)</f>
        <v>112.95</v>
      </c>
      <c r="Z263" s="257">
        <f>ROUND((P263*T263*F263*O263/1000000),4)</f>
        <v>0.2515</v>
      </c>
      <c r="AA263" s="257">
        <f>ROUND((Q263*U263*F263*O263/1000000),4)</f>
        <v>0.12570000000000001</v>
      </c>
      <c r="AB263" s="257">
        <f>ROUND((R263*V263*F263*O263/1000000),4)</f>
        <v>0.12570000000000001</v>
      </c>
      <c r="AC263" s="258" t="s">
        <v>165</v>
      </c>
      <c r="AD263" s="259" t="s">
        <v>144</v>
      </c>
      <c r="AE263" s="34">
        <f>ROUND((((X263*E263)/1800)*0.8),4)</f>
        <v>5.0200000000000002E-2</v>
      </c>
      <c r="AF263" s="34">
        <f>ROUND(((Z263+AA263+AB263)*0.8),4)</f>
        <v>0.40229999999999999</v>
      </c>
      <c r="AG263" s="288"/>
      <c r="AH263" s="288"/>
      <c r="AI263" s="288"/>
    </row>
    <row r="264" spans="1:35" s="61" customFormat="1" ht="15" customHeight="1" x14ac:dyDescent="0.25">
      <c r="A264" s="260"/>
      <c r="B264" s="1634"/>
      <c r="C264" s="261"/>
      <c r="D264" s="32"/>
      <c r="E264" s="32"/>
      <c r="F264" s="32"/>
      <c r="G264" s="32"/>
      <c r="H264" s="32"/>
      <c r="I264" s="32"/>
      <c r="J264" s="32"/>
      <c r="K264" s="32"/>
      <c r="L264" s="265"/>
      <c r="M264" s="265"/>
      <c r="N264" s="32"/>
      <c r="O264" s="32"/>
      <c r="P264" s="32"/>
      <c r="Q264" s="32"/>
      <c r="R264" s="32"/>
      <c r="S264" s="268"/>
      <c r="T264" s="32"/>
      <c r="U264" s="32"/>
      <c r="V264" s="32"/>
      <c r="W264" s="32"/>
      <c r="X264" s="32"/>
      <c r="Y264" s="32"/>
      <c r="Z264" s="32"/>
      <c r="AA264" s="32"/>
      <c r="AB264" s="32"/>
      <c r="AC264" s="258" t="s">
        <v>166</v>
      </c>
      <c r="AD264" s="259" t="s">
        <v>167</v>
      </c>
      <c r="AE264" s="34">
        <f>ROUND((((X263*E263)/1800)*0.13),4)</f>
        <v>8.2000000000000007E-3</v>
      </c>
      <c r="AF264" s="34">
        <f>ROUND(((Z263+AA263+AB263)*0.13),4)</f>
        <v>6.54E-2</v>
      </c>
      <c r="AG264" s="288"/>
      <c r="AH264" s="288"/>
      <c r="AI264" s="288"/>
    </row>
    <row r="265" spans="1:35" s="61" customFormat="1" ht="15" customHeight="1" x14ac:dyDescent="0.25">
      <c r="A265" s="260"/>
      <c r="B265" s="279" t="s">
        <v>598</v>
      </c>
      <c r="C265" s="269"/>
      <c r="D265" s="263"/>
      <c r="E265" s="32"/>
      <c r="F265" s="32"/>
      <c r="G265" s="32"/>
      <c r="H265" s="32"/>
      <c r="I265" s="32"/>
      <c r="J265" s="32"/>
      <c r="K265" s="32"/>
      <c r="L265" s="34">
        <v>0.31</v>
      </c>
      <c r="M265" s="34">
        <v>0.38</v>
      </c>
      <c r="N265" s="32"/>
      <c r="O265" s="32"/>
      <c r="P265" s="32"/>
      <c r="Q265" s="32"/>
      <c r="R265" s="32"/>
      <c r="S265" s="270">
        <v>0.16</v>
      </c>
      <c r="T265" s="30">
        <f>ROUND((L265*I263+1.3*L265*K263+S265*H263),4)</f>
        <v>113.99250000000001</v>
      </c>
      <c r="U265" s="30">
        <f>ROUND((M265*0.9*I263+1.3*M265*0.9*K263+S265*H263),4)</f>
        <v>124.7685</v>
      </c>
      <c r="V265" s="30">
        <f>ROUND((M265*I263+1.3*M265*K263+S265*H263),4)</f>
        <v>137.565</v>
      </c>
      <c r="W265" s="30">
        <f>ROUND((L265*J263+1.3*L265*N263+S265*G263),4)</f>
        <v>9.33</v>
      </c>
      <c r="X265" s="30">
        <f>ROUND((M265*0.9*J263+1.3*M265*0.9*N263+S265*G263),4)</f>
        <v>10.194000000000001</v>
      </c>
      <c r="Y265" s="30">
        <f>ROUND((M265*J263+1.3*M265*N263+S265*G263),4)</f>
        <v>11.22</v>
      </c>
      <c r="Z265" s="257">
        <f>ROUND((P263*T265*F263*O263/1000000),4)</f>
        <v>2.0500000000000001E-2</v>
      </c>
      <c r="AA265" s="257">
        <f>ROUND((Q263*U265*F263*O263/1000000),4)</f>
        <v>1.12E-2</v>
      </c>
      <c r="AB265" s="257">
        <f>ROUND((R263*V265*F263*O263/1000000),4)</f>
        <v>1.24E-2</v>
      </c>
      <c r="AC265" s="258" t="s">
        <v>547</v>
      </c>
      <c r="AD265" s="259" t="s">
        <v>169</v>
      </c>
      <c r="AE265" s="34">
        <f>ROUND((((X265*E263)/1800)),4)</f>
        <v>5.7000000000000002E-3</v>
      </c>
      <c r="AF265" s="34">
        <f>ROUND(((Z265+AA265+AB265)),5)</f>
        <v>4.41E-2</v>
      </c>
      <c r="AG265" s="288"/>
      <c r="AH265" s="288"/>
      <c r="AI265" s="288"/>
    </row>
    <row r="266" spans="1:35" s="61" customFormat="1" ht="15" customHeight="1" x14ac:dyDescent="0.25">
      <c r="A266" s="260"/>
      <c r="B266" s="261"/>
      <c r="C266" s="261"/>
      <c r="D266" s="32"/>
      <c r="E266" s="32"/>
      <c r="F266" s="32"/>
      <c r="G266" s="32"/>
      <c r="H266" s="32"/>
      <c r="I266" s="32"/>
      <c r="J266" s="32"/>
      <c r="K266" s="32"/>
      <c r="L266" s="34">
        <v>0.71</v>
      </c>
      <c r="M266" s="34">
        <v>0.85</v>
      </c>
      <c r="N266" s="32"/>
      <c r="O266" s="32"/>
      <c r="P266" s="32"/>
      <c r="Q266" s="32"/>
      <c r="R266" s="32"/>
      <c r="S266" s="271">
        <v>0.49</v>
      </c>
      <c r="T266" s="30">
        <f>ROUND((L266*I263+1.3*L266*K263+S266*H263),4)</f>
        <v>268.49250000000001</v>
      </c>
      <c r="U266" s="30">
        <f>ROUND((M266*0.9*I263+1.3*M266*0.9*K263+S266*H263),4)</f>
        <v>287.0138</v>
      </c>
      <c r="V266" s="30">
        <f>ROUND((M266*I263+1.3*M266*K263+S266*H263),4)</f>
        <v>315.63749999999999</v>
      </c>
      <c r="W266" s="30">
        <f>ROUND((L266*J263+1.3*L266*N263+S266*G263),4)</f>
        <v>22.11</v>
      </c>
      <c r="X266" s="30">
        <f>ROUND((M266*0.9*J263+1.3*M266*0.9*N263+S266*G263),4)</f>
        <v>23.594999999999999</v>
      </c>
      <c r="Y266" s="30">
        <f>ROUND((M266*J263+1.3*N263+S266*G263),4)</f>
        <v>27.84</v>
      </c>
      <c r="Z266" s="257">
        <f>ROUND((P263*T266*F263*O263/1000000),4)</f>
        <v>4.8300000000000003E-2</v>
      </c>
      <c r="AA266" s="257">
        <f>ROUND((Q263*U266*F263*O263/1000000),4)</f>
        <v>2.58E-2</v>
      </c>
      <c r="AB266" s="257">
        <f>ROUND((R263*V266*F263*O263/1000000),4)</f>
        <v>2.8400000000000002E-2</v>
      </c>
      <c r="AC266" s="258" t="s">
        <v>548</v>
      </c>
      <c r="AD266" s="259" t="s">
        <v>549</v>
      </c>
      <c r="AE266" s="34">
        <f>ROUND((((X266*E263)/1800)),4)</f>
        <v>1.3100000000000001E-2</v>
      </c>
      <c r="AF266" s="34">
        <f>ROUND(((Z266+AA266+AB266)),4)</f>
        <v>0.10249999999999999</v>
      </c>
      <c r="AG266" s="288"/>
      <c r="AH266" s="288"/>
      <c r="AI266" s="288"/>
    </row>
    <row r="267" spans="1:35" s="61" customFormat="1" ht="15" customHeight="1" x14ac:dyDescent="0.25">
      <c r="A267" s="260"/>
      <c r="B267" s="261"/>
      <c r="C267" s="261"/>
      <c r="D267" s="32"/>
      <c r="E267" s="32"/>
      <c r="F267" s="32"/>
      <c r="G267" s="32"/>
      <c r="H267" s="32"/>
      <c r="I267" s="32"/>
      <c r="J267" s="32"/>
      <c r="K267" s="32"/>
      <c r="L267" s="34">
        <v>0.45</v>
      </c>
      <c r="M267" s="34">
        <v>0.67</v>
      </c>
      <c r="N267" s="32"/>
      <c r="O267" s="32"/>
      <c r="P267" s="32"/>
      <c r="Q267" s="32"/>
      <c r="R267" s="32"/>
      <c r="S267" s="271">
        <v>0.1</v>
      </c>
      <c r="T267" s="30">
        <f>ROUND((L267*I263+1.3*L267*K263+S267*H263),4)</f>
        <v>157.53749999999999</v>
      </c>
      <c r="U267" s="30">
        <f>ROUND((M267*0.9*I263+1.3*M267*0.9*K263+S267*H263),4)</f>
        <v>209.06030000000001</v>
      </c>
      <c r="V267" s="30">
        <f>ROUND((M267*I263+1.3*M267*K263+S267*H263),4)</f>
        <v>231.6225</v>
      </c>
      <c r="W267" s="30">
        <f>ROUND((L267*J263+1.3*L267*N263+S267*G263),4)</f>
        <v>12.75</v>
      </c>
      <c r="X267" s="30">
        <f>ROUND((M267*0.9*J263+1.3*M267*0.9*N263+S267*G263),4)</f>
        <v>16.881</v>
      </c>
      <c r="Y267" s="30">
        <f>ROUND((M267*J263+1.3*M267*N263+S267*G263),4)</f>
        <v>18.690000000000001</v>
      </c>
      <c r="Z267" s="257">
        <f>ROUND((P263*T267*F263*O263/1000000),4)</f>
        <v>2.8400000000000002E-2</v>
      </c>
      <c r="AA267" s="257">
        <f>ROUND((Q263*U267*F263*O263/1000000),4)</f>
        <v>1.8800000000000001E-2</v>
      </c>
      <c r="AB267" s="257">
        <f>ROUND((R263*V267*F263*O263/1000000),4)</f>
        <v>2.0799999999999999E-2</v>
      </c>
      <c r="AC267" s="258" t="s">
        <v>172</v>
      </c>
      <c r="AD267" s="259" t="s">
        <v>173</v>
      </c>
      <c r="AE267" s="34">
        <f>ROUND((((X267*E263)/1800)),4)</f>
        <v>9.4000000000000004E-3</v>
      </c>
      <c r="AF267" s="34">
        <f>ROUND(((Z267+AA267+AB267)),4)</f>
        <v>6.8000000000000005E-2</v>
      </c>
      <c r="AG267" s="288"/>
      <c r="AH267" s="288"/>
      <c r="AI267" s="288"/>
    </row>
    <row r="268" spans="1:35" s="61" customFormat="1" ht="15" customHeight="1" x14ac:dyDescent="0.25">
      <c r="A268" s="260"/>
      <c r="B268" s="272"/>
      <c r="C268" s="272"/>
      <c r="D268" s="265"/>
      <c r="E268" s="265"/>
      <c r="F268" s="265"/>
      <c r="G268" s="265"/>
      <c r="H268" s="265"/>
      <c r="I268" s="265"/>
      <c r="J268" s="265"/>
      <c r="K268" s="265"/>
      <c r="L268" s="34">
        <v>2.09</v>
      </c>
      <c r="M268" s="34">
        <v>2.5499999999999998</v>
      </c>
      <c r="N268" s="265"/>
      <c r="O268" s="265"/>
      <c r="P268" s="265"/>
      <c r="Q268" s="265"/>
      <c r="R268" s="265"/>
      <c r="S268" s="271">
        <v>3.91</v>
      </c>
      <c r="T268" s="30">
        <f>ROUND((L268*I263+1.3*L268*K263+S268*H263),4)</f>
        <v>938.40750000000003</v>
      </c>
      <c r="U268" s="30">
        <f>ROUND((M268*0.9*I263+1.3*M268*0.9*K263+S268*H263),4)</f>
        <v>1007.4413</v>
      </c>
      <c r="V268" s="30">
        <f>ROUND((M268*I263+1.3*M268*K263+S268*H263),4)</f>
        <v>1093.3125</v>
      </c>
      <c r="W268" s="30">
        <f>ROUND((L268*J263+1.3*L268*N263+S268*G263),4)</f>
        <v>79.89</v>
      </c>
      <c r="X268" s="30">
        <f>ROUND((M268*0.9*J263+1.3*M268*0.9*N263+S268*G263),4)</f>
        <v>85.424999999999997</v>
      </c>
      <c r="Y268" s="30">
        <f>ROUND((M268*J263+1.3*M268*N263+S268*G263),4)</f>
        <v>92.31</v>
      </c>
      <c r="Z268" s="257">
        <f>ROUND((P263*T268*F263*O263/1000000),4)</f>
        <v>0.16889999999999999</v>
      </c>
      <c r="AA268" s="257">
        <f>ROUND((Q263*U268*F263*O263/1000000),4)</f>
        <v>9.0700000000000003E-2</v>
      </c>
      <c r="AB268" s="257">
        <f>ROUND((R263*V268*F263*O263/1000000),4)</f>
        <v>9.8400000000000001E-2</v>
      </c>
      <c r="AC268" s="258" t="s">
        <v>157</v>
      </c>
      <c r="AD268" s="259" t="s">
        <v>153</v>
      </c>
      <c r="AE268" s="34">
        <f>ROUND((((X268*E263)/1800)),4)</f>
        <v>4.7500000000000001E-2</v>
      </c>
      <c r="AF268" s="34">
        <f>ROUND(((Z268+AA268+AB268)),4)</f>
        <v>0.35799999999999998</v>
      </c>
      <c r="AG268" s="288"/>
      <c r="AH268" s="288"/>
      <c r="AI268" s="288"/>
    </row>
    <row r="269" spans="1:35" s="61" customFormat="1" ht="15" customHeight="1" x14ac:dyDescent="0.25">
      <c r="A269" s="260"/>
      <c r="B269" s="274" t="s">
        <v>599</v>
      </c>
      <c r="C269" s="274">
        <v>5</v>
      </c>
      <c r="D269" s="38" t="s">
        <v>552</v>
      </c>
      <c r="E269" s="38">
        <v>1</v>
      </c>
      <c r="F269" s="38">
        <v>1</v>
      </c>
      <c r="G269" s="38">
        <v>6</v>
      </c>
      <c r="H269" s="38">
        <v>60</v>
      </c>
      <c r="I269" s="38">
        <f>(8-1-0.75*2)*60*F269-K269-8*0.12*60</f>
        <v>57.900000000000006</v>
      </c>
      <c r="J269" s="38">
        <v>14</v>
      </c>
      <c r="K269" s="38">
        <f>(8-1-0.75*2)*0.65*60*F269</f>
        <v>214.5</v>
      </c>
      <c r="L269" s="38">
        <v>4.01</v>
      </c>
      <c r="M269" s="38">
        <v>4.01</v>
      </c>
      <c r="N269" s="38">
        <v>10</v>
      </c>
      <c r="O269" s="38">
        <f>E269/F269</f>
        <v>1</v>
      </c>
      <c r="P269" s="38">
        <v>180</v>
      </c>
      <c r="Q269" s="38">
        <v>90</v>
      </c>
      <c r="R269" s="275">
        <v>90</v>
      </c>
      <c r="S269" s="275">
        <v>0.78</v>
      </c>
      <c r="T269" s="38">
        <f>ROUND((L269*I269+1.3*L269*K269+S269*H269),4)</f>
        <v>1397.1675</v>
      </c>
      <c r="U269" s="38">
        <f>ROUND((M269*I269+1.3*M269*K269+S269*H269),4)</f>
        <v>1397.1675</v>
      </c>
      <c r="V269" s="38">
        <f>ROUND((M269*I269+1.3*M269*K269+S269*H269),4)</f>
        <v>1397.1675</v>
      </c>
      <c r="W269" s="38">
        <f>ROUND((L269*J269+1.3*L269*N269+S269*G269),4)</f>
        <v>112.95</v>
      </c>
      <c r="X269" s="38">
        <f>ROUND((M269*J269+1.3*M269*N269+S269*G269),4)</f>
        <v>112.95</v>
      </c>
      <c r="Y269" s="38">
        <f>ROUND((M269*J269+1.3*M269*N269+S269*G269),4)</f>
        <v>112.95</v>
      </c>
      <c r="Z269" s="276">
        <f>ROUND((P269*T269*F269*O269/1000000),4)</f>
        <v>0.2515</v>
      </c>
      <c r="AA269" s="276">
        <f>ROUND((Q269*U269*F269*O269/1000000),4)</f>
        <v>0.12570000000000001</v>
      </c>
      <c r="AB269" s="276">
        <f>ROUND((R269*V269*F269*O269/1000000),4)</f>
        <v>0.12570000000000001</v>
      </c>
      <c r="AC269" s="277" t="s">
        <v>165</v>
      </c>
      <c r="AD269" s="278" t="s">
        <v>144</v>
      </c>
      <c r="AE269" s="40">
        <f>ROUND((((X269*E269)/1800)*0.8),4)</f>
        <v>5.0200000000000002E-2</v>
      </c>
      <c r="AF269" s="40">
        <f>ROUND(((Z269+AA269+AB269)*0.8),4)</f>
        <v>0.40229999999999999</v>
      </c>
      <c r="AG269" s="288"/>
      <c r="AH269" s="288"/>
      <c r="AI269" s="288"/>
    </row>
    <row r="270" spans="1:35" s="61" customFormat="1" ht="15" customHeight="1" x14ac:dyDescent="0.25">
      <c r="A270" s="260"/>
      <c r="B270" s="279" t="s">
        <v>600</v>
      </c>
      <c r="C270" s="280"/>
      <c r="D270" s="39"/>
      <c r="E270" s="39"/>
      <c r="F270" s="39"/>
      <c r="G270" s="39"/>
      <c r="H270" s="39"/>
      <c r="I270" s="39"/>
      <c r="J270" s="39"/>
      <c r="K270" s="39"/>
      <c r="L270" s="119"/>
      <c r="M270" s="119"/>
      <c r="N270" s="39"/>
      <c r="O270" s="39"/>
      <c r="P270" s="39"/>
      <c r="Q270" s="39"/>
      <c r="R270" s="39"/>
      <c r="S270" s="281"/>
      <c r="T270" s="39"/>
      <c r="U270" s="39"/>
      <c r="V270" s="39"/>
      <c r="W270" s="39"/>
      <c r="X270" s="39"/>
      <c r="Y270" s="39"/>
      <c r="Z270" s="39"/>
      <c r="AA270" s="39"/>
      <c r="AB270" s="39"/>
      <c r="AC270" s="277" t="s">
        <v>166</v>
      </c>
      <c r="AD270" s="278" t="s">
        <v>167</v>
      </c>
      <c r="AE270" s="40">
        <f>ROUND((((X269*E269)/1800)*0.13),4)</f>
        <v>8.2000000000000007E-3</v>
      </c>
      <c r="AF270" s="40">
        <f>ROUND(((Z269+AA269+AB269)*0.13),4)</f>
        <v>6.54E-2</v>
      </c>
      <c r="AG270" s="288"/>
      <c r="AH270" s="288"/>
      <c r="AI270" s="288"/>
    </row>
    <row r="271" spans="1:35" s="61" customFormat="1" ht="15" customHeight="1" x14ac:dyDescent="0.25">
      <c r="A271" s="260"/>
      <c r="B271" s="280"/>
      <c r="C271" s="282"/>
      <c r="D271" s="283"/>
      <c r="E271" s="39"/>
      <c r="F271" s="39"/>
      <c r="G271" s="39"/>
      <c r="H271" s="39"/>
      <c r="I271" s="39"/>
      <c r="J271" s="39"/>
      <c r="K271" s="39"/>
      <c r="L271" s="40">
        <v>0.31</v>
      </c>
      <c r="M271" s="40">
        <v>0.38</v>
      </c>
      <c r="N271" s="39"/>
      <c r="O271" s="39"/>
      <c r="P271" s="39"/>
      <c r="Q271" s="39"/>
      <c r="R271" s="39"/>
      <c r="S271" s="284">
        <v>0.16</v>
      </c>
      <c r="T271" s="38">
        <f>ROUND((L271*I269+1.3*L271*K269+S271*H269),4)</f>
        <v>113.99250000000001</v>
      </c>
      <c r="U271" s="38">
        <f>ROUND((M271*0.9*I269+1.3*M271*0.9*K269+S271*H269),4)</f>
        <v>124.7685</v>
      </c>
      <c r="V271" s="38">
        <f>ROUND((M271*I269+1.3*M271*K269+S271*H269),4)</f>
        <v>137.565</v>
      </c>
      <c r="W271" s="38">
        <f>ROUND((L271*J269+1.3*L271*N269+S271*G269),4)</f>
        <v>9.33</v>
      </c>
      <c r="X271" s="38">
        <f>ROUND((M271*0.9*J269+1.3*M271*0.9*N269+S271*G269),4)</f>
        <v>10.194000000000001</v>
      </c>
      <c r="Y271" s="38">
        <f>ROUND((M271*J269+1.3*M271*N269+S271*G269),4)</f>
        <v>11.22</v>
      </c>
      <c r="Z271" s="276">
        <f>ROUND((P269*T271*F269*O269/1000000),4)</f>
        <v>2.0500000000000001E-2</v>
      </c>
      <c r="AA271" s="276">
        <f>ROUND((Q269*U271*F269*O269/1000000),4)</f>
        <v>1.12E-2</v>
      </c>
      <c r="AB271" s="276">
        <f>ROUND((R269*V271*F269*O269/1000000),4)</f>
        <v>1.24E-2</v>
      </c>
      <c r="AC271" s="277" t="s">
        <v>547</v>
      </c>
      <c r="AD271" s="278" t="s">
        <v>169</v>
      </c>
      <c r="AE271" s="40">
        <f>ROUND((((X271*E269)/1800)),4)</f>
        <v>5.7000000000000002E-3</v>
      </c>
      <c r="AF271" s="40">
        <f>ROUND(((Z271+AA271+AB271)),5)</f>
        <v>4.41E-2</v>
      </c>
      <c r="AG271" s="288"/>
      <c r="AH271" s="288"/>
      <c r="AI271" s="288"/>
    </row>
    <row r="272" spans="1:35" s="61" customFormat="1" ht="15" customHeight="1" x14ac:dyDescent="0.25">
      <c r="A272" s="260"/>
      <c r="B272" s="280"/>
      <c r="C272" s="280"/>
      <c r="D272" s="39"/>
      <c r="E272" s="39"/>
      <c r="F272" s="39"/>
      <c r="G272" s="39"/>
      <c r="H272" s="39"/>
      <c r="I272" s="39"/>
      <c r="J272" s="39"/>
      <c r="K272" s="39"/>
      <c r="L272" s="40">
        <v>0.71</v>
      </c>
      <c r="M272" s="40">
        <v>0.85</v>
      </c>
      <c r="N272" s="39"/>
      <c r="O272" s="39"/>
      <c r="P272" s="39"/>
      <c r="Q272" s="39"/>
      <c r="R272" s="39"/>
      <c r="S272" s="285">
        <v>0.49</v>
      </c>
      <c r="T272" s="38">
        <f>ROUND((L272*I269+1.3*L272*K269+S272*H269),4)</f>
        <v>268.49250000000001</v>
      </c>
      <c r="U272" s="38">
        <f>ROUND((M272*0.9*I269+1.3*M272*0.9*K269+S272*H269),4)</f>
        <v>287.0138</v>
      </c>
      <c r="V272" s="38">
        <f>ROUND((M272*I269+1.3*M272*K269+S272*H269),4)</f>
        <v>315.63749999999999</v>
      </c>
      <c r="W272" s="38">
        <f>ROUND((L272*J269+1.3*L272*N269+S272*G269),4)</f>
        <v>22.11</v>
      </c>
      <c r="X272" s="38">
        <f>ROUND((M272*0.9*J269+1.3*M272*0.9*N269+S272*G269),4)</f>
        <v>23.594999999999999</v>
      </c>
      <c r="Y272" s="38">
        <f>ROUND((M272*J269+1.3*N269+S272*G269),4)</f>
        <v>27.84</v>
      </c>
      <c r="Z272" s="276">
        <f>ROUND((P269*T272*F269*O269/1000000),4)</f>
        <v>4.8300000000000003E-2</v>
      </c>
      <c r="AA272" s="276">
        <f>ROUND((Q269*U272*F269*O269/1000000),4)</f>
        <v>2.58E-2</v>
      </c>
      <c r="AB272" s="276">
        <f>ROUND((R269*V272*F269*O269/1000000),4)</f>
        <v>2.8400000000000002E-2</v>
      </c>
      <c r="AC272" s="277" t="s">
        <v>548</v>
      </c>
      <c r="AD272" s="278" t="s">
        <v>549</v>
      </c>
      <c r="AE272" s="40">
        <f>ROUND((((X272*E269)/1800)),4)</f>
        <v>1.3100000000000001E-2</v>
      </c>
      <c r="AF272" s="40">
        <f>ROUND(((Z272+AA272+AB272)),4)</f>
        <v>0.10249999999999999</v>
      </c>
      <c r="AG272" s="288"/>
      <c r="AH272" s="288"/>
      <c r="AI272" s="288"/>
    </row>
    <row r="273" spans="1:35" s="61" customFormat="1" ht="15" customHeight="1" x14ac:dyDescent="0.25">
      <c r="A273" s="260"/>
      <c r="B273" s="280"/>
      <c r="C273" s="280"/>
      <c r="D273" s="39"/>
      <c r="E273" s="39"/>
      <c r="F273" s="39"/>
      <c r="G273" s="39"/>
      <c r="H273" s="39"/>
      <c r="I273" s="39"/>
      <c r="J273" s="39"/>
      <c r="K273" s="39"/>
      <c r="L273" s="40">
        <v>0.45</v>
      </c>
      <c r="M273" s="40">
        <v>0.67</v>
      </c>
      <c r="N273" s="39"/>
      <c r="O273" s="39"/>
      <c r="P273" s="39"/>
      <c r="Q273" s="39"/>
      <c r="R273" s="39"/>
      <c r="S273" s="285">
        <v>0.1</v>
      </c>
      <c r="T273" s="38">
        <f>ROUND((L273*I269+1.3*L273*K269+S273*H269),4)</f>
        <v>157.53749999999999</v>
      </c>
      <c r="U273" s="38">
        <f>ROUND((M273*0.9*I269+1.3*M273*0.9*K269+S273*H269),4)</f>
        <v>209.06030000000001</v>
      </c>
      <c r="V273" s="38">
        <f>ROUND((M273*I269+1.3*M273*K269+S273*H269),4)</f>
        <v>231.6225</v>
      </c>
      <c r="W273" s="38">
        <f>ROUND((L273*J269+1.3*L273*N269+S273*G269),4)</f>
        <v>12.75</v>
      </c>
      <c r="X273" s="38">
        <f>ROUND((M273*0.9*J269+1.3*M273*0.9*N269+S273*G269),4)</f>
        <v>16.881</v>
      </c>
      <c r="Y273" s="38">
        <f>ROUND((M273*J269+1.3*M273*N269+S273*G269),4)</f>
        <v>18.690000000000001</v>
      </c>
      <c r="Z273" s="276">
        <f>ROUND((P269*T273*F269*O269/1000000),4)</f>
        <v>2.8400000000000002E-2</v>
      </c>
      <c r="AA273" s="276">
        <f>ROUND((Q269*U273*F269*O269/1000000),4)</f>
        <v>1.8800000000000001E-2</v>
      </c>
      <c r="AB273" s="276">
        <f>ROUND((R269*V273*F269*O269/1000000),4)</f>
        <v>2.0799999999999999E-2</v>
      </c>
      <c r="AC273" s="277" t="s">
        <v>172</v>
      </c>
      <c r="AD273" s="278" t="s">
        <v>173</v>
      </c>
      <c r="AE273" s="40">
        <f>ROUND((((X273*E269)/1800)),4)</f>
        <v>9.4000000000000004E-3</v>
      </c>
      <c r="AF273" s="40">
        <f>ROUND(((Z273+AA273+AB273)),4)</f>
        <v>6.8000000000000005E-2</v>
      </c>
      <c r="AG273" s="288"/>
      <c r="AH273" s="288"/>
      <c r="AI273" s="288"/>
    </row>
    <row r="274" spans="1:35" s="61" customFormat="1" ht="15" customHeight="1" x14ac:dyDescent="0.25">
      <c r="A274" s="260"/>
      <c r="B274" s="286"/>
      <c r="C274" s="286"/>
      <c r="D274" s="119"/>
      <c r="E274" s="119"/>
      <c r="F274" s="119"/>
      <c r="G274" s="119"/>
      <c r="H274" s="119"/>
      <c r="I274" s="119"/>
      <c r="J274" s="119"/>
      <c r="K274" s="119"/>
      <c r="L274" s="40">
        <v>2.09</v>
      </c>
      <c r="M274" s="40">
        <v>2.5499999999999998</v>
      </c>
      <c r="N274" s="119"/>
      <c r="O274" s="119"/>
      <c r="P274" s="119"/>
      <c r="Q274" s="119"/>
      <c r="R274" s="119"/>
      <c r="S274" s="285">
        <v>3.91</v>
      </c>
      <c r="T274" s="38">
        <f>ROUND((L274*I269+1.3*L274*K269+S274*H269),4)</f>
        <v>938.40750000000003</v>
      </c>
      <c r="U274" s="38">
        <f>ROUND((M274*0.9*I269+1.3*M274*0.9*K269+S274*H269),4)</f>
        <v>1007.4413</v>
      </c>
      <c r="V274" s="38">
        <f>ROUND((M274*I269+1.3*M274*K269+S274*H269),4)</f>
        <v>1093.3125</v>
      </c>
      <c r="W274" s="38">
        <f>ROUND((L274*J269+1.3*L274*N269+S274*G269),4)</f>
        <v>79.89</v>
      </c>
      <c r="X274" s="38">
        <f>ROUND((M274*0.9*J269+1.3*M274*0.9*N269+S274*G269),4)</f>
        <v>85.424999999999997</v>
      </c>
      <c r="Y274" s="38">
        <f>ROUND((M274*J269+1.3*M274*N269+S274*G269),4)</f>
        <v>92.31</v>
      </c>
      <c r="Z274" s="276">
        <f>ROUND((P269*T274*F269*O269/1000000),4)</f>
        <v>0.16889999999999999</v>
      </c>
      <c r="AA274" s="276">
        <f>ROUND((Q269*U274*F269*O269/1000000),4)</f>
        <v>9.0700000000000003E-2</v>
      </c>
      <c r="AB274" s="276">
        <f>ROUND((R269*V274*F269*O269/1000000),4)</f>
        <v>9.8400000000000001E-2</v>
      </c>
      <c r="AC274" s="277" t="s">
        <v>157</v>
      </c>
      <c r="AD274" s="278" t="s">
        <v>153</v>
      </c>
      <c r="AE274" s="40">
        <f>ROUND((((X274*E269)/1800)),4)</f>
        <v>4.7500000000000001E-2</v>
      </c>
      <c r="AF274" s="40">
        <f>ROUND(((Z274+AA274+AB274)),4)</f>
        <v>0.35799999999999998</v>
      </c>
      <c r="AG274" s="288"/>
      <c r="AH274" s="288"/>
      <c r="AI274" s="288"/>
    </row>
    <row r="275" spans="1:35" s="61" customFormat="1" ht="15" customHeight="1" x14ac:dyDescent="0.25">
      <c r="A275" s="39"/>
      <c r="B275" s="1641" t="s">
        <v>601</v>
      </c>
      <c r="C275" s="38">
        <v>3</v>
      </c>
      <c r="D275" s="38" t="s">
        <v>579</v>
      </c>
      <c r="E275" s="38">
        <v>1</v>
      </c>
      <c r="F275" s="38">
        <v>1</v>
      </c>
      <c r="G275" s="38">
        <v>6</v>
      </c>
      <c r="H275" s="38">
        <v>60</v>
      </c>
      <c r="I275" s="38">
        <f>(8-1-0.75*2)*60*F275-K275-8*0.12*60</f>
        <v>57.900000000000006</v>
      </c>
      <c r="J275" s="38">
        <v>14</v>
      </c>
      <c r="K275" s="38">
        <f>(8-1-0.75*2)*0.65*60*F275</f>
        <v>214.5</v>
      </c>
      <c r="L275" s="38">
        <v>1.49</v>
      </c>
      <c r="M275" s="38">
        <v>1.49</v>
      </c>
      <c r="N275" s="38">
        <v>10</v>
      </c>
      <c r="O275" s="38">
        <f>E275/F275</f>
        <v>1</v>
      </c>
      <c r="P275" s="38">
        <v>180</v>
      </c>
      <c r="Q275" s="38">
        <v>90</v>
      </c>
      <c r="R275" s="275">
        <v>90</v>
      </c>
      <c r="S275" s="275">
        <v>0.28999999999999998</v>
      </c>
      <c r="T275" s="38">
        <f>ROUND((L275*I275+1.3*L275*K275+S275*H275),4)</f>
        <v>519.15750000000003</v>
      </c>
      <c r="U275" s="38">
        <f>ROUND((M275*I275+1.3*M275*K275+S275*H275),4)</f>
        <v>519.15750000000003</v>
      </c>
      <c r="V275" s="38">
        <f>ROUND((M275*I275+1.3*M275*K275+S275*H275),4)</f>
        <v>519.15750000000003</v>
      </c>
      <c r="W275" s="38">
        <f>ROUND((L275*J275+1.3*L275*N275+S275*G275),4)</f>
        <v>41.97</v>
      </c>
      <c r="X275" s="38">
        <f>ROUND((M275*J275+1.3*M275*N275+S275*G275),4)</f>
        <v>41.97</v>
      </c>
      <c r="Y275" s="38">
        <f>ROUND((M275*J275+1.3*M275*N275+S275*G275),4)</f>
        <v>41.97</v>
      </c>
      <c r="Z275" s="276">
        <f>ROUND((P275*T275*F275*O275/1000000),4)</f>
        <v>9.3399999999999997E-2</v>
      </c>
      <c r="AA275" s="276">
        <f>ROUND((Q275*U275*F275*O275/1000000),4)</f>
        <v>4.6699999999999998E-2</v>
      </c>
      <c r="AB275" s="276">
        <f>ROUND((R275*V275*F275*O275/1000000),4)</f>
        <v>4.6699999999999998E-2</v>
      </c>
      <c r="AC275" s="277" t="s">
        <v>165</v>
      </c>
      <c r="AD275" s="278" t="s">
        <v>144</v>
      </c>
      <c r="AE275" s="40">
        <f>ROUND((((X275*E275)/1800)*0.8),4)</f>
        <v>1.8700000000000001E-2</v>
      </c>
      <c r="AF275" s="40">
        <f>ROUND(((Z275+AA275+AB275)*0.8),4)</f>
        <v>0.14940000000000001</v>
      </c>
      <c r="AG275" s="288"/>
      <c r="AH275" s="288"/>
      <c r="AI275" s="288"/>
    </row>
    <row r="276" spans="1:35" s="61" customFormat="1" ht="15" customHeight="1" x14ac:dyDescent="0.25">
      <c r="A276" s="39"/>
      <c r="B276" s="1642"/>
      <c r="C276" s="39"/>
      <c r="D276" s="39"/>
      <c r="E276" s="39"/>
      <c r="F276" s="39"/>
      <c r="G276" s="39"/>
      <c r="H276" s="39"/>
      <c r="I276" s="39"/>
      <c r="J276" s="39"/>
      <c r="K276" s="39"/>
      <c r="L276" s="119"/>
      <c r="M276" s="119"/>
      <c r="N276" s="39"/>
      <c r="O276" s="39"/>
      <c r="P276" s="39"/>
      <c r="Q276" s="39"/>
      <c r="R276" s="39"/>
      <c r="S276" s="281"/>
      <c r="T276" s="39"/>
      <c r="U276" s="39"/>
      <c r="V276" s="39"/>
      <c r="W276" s="39"/>
      <c r="X276" s="39"/>
      <c r="Y276" s="39"/>
      <c r="Z276" s="39"/>
      <c r="AA276" s="39"/>
      <c r="AB276" s="39"/>
      <c r="AC276" s="277" t="s">
        <v>166</v>
      </c>
      <c r="AD276" s="278" t="s">
        <v>167</v>
      </c>
      <c r="AE276" s="40">
        <f>ROUND((((X275*E275)/1800)*0.13),4)</f>
        <v>3.0000000000000001E-3</v>
      </c>
      <c r="AF276" s="40">
        <f>ROUND(((Z275+AA275+AB275)*0.13),4)</f>
        <v>2.4299999999999999E-2</v>
      </c>
      <c r="AG276" s="288"/>
      <c r="AH276" s="288"/>
      <c r="AI276" s="288"/>
    </row>
    <row r="277" spans="1:35" s="61" customFormat="1" ht="15" customHeight="1" x14ac:dyDescent="0.25">
      <c r="A277" s="39"/>
      <c r="B277" s="280" t="s">
        <v>602</v>
      </c>
      <c r="C277" s="283"/>
      <c r="D277" s="283"/>
      <c r="E277" s="39"/>
      <c r="F277" s="39"/>
      <c r="G277" s="39"/>
      <c r="H277" s="39"/>
      <c r="I277" s="39"/>
      <c r="J277" s="39"/>
      <c r="K277" s="39"/>
      <c r="L277" s="40">
        <v>0.12</v>
      </c>
      <c r="M277" s="40">
        <v>0.15</v>
      </c>
      <c r="N277" s="39"/>
      <c r="O277" s="39"/>
      <c r="P277" s="39"/>
      <c r="Q277" s="39"/>
      <c r="R277" s="39"/>
      <c r="S277" s="284">
        <v>5.8000000000000003E-2</v>
      </c>
      <c r="T277" s="38">
        <f>ROUND((L277*I275+1.3*L277*K275+S277*H275),4)</f>
        <v>43.89</v>
      </c>
      <c r="U277" s="38">
        <f>ROUND((M277*0.9*I275+1.3*M277*0.9*K275+S277*H275),4)</f>
        <v>48.941299999999998</v>
      </c>
      <c r="V277" s="38">
        <f>ROUND((M277*I275+1.3*M277*K275+S277*H275),4)</f>
        <v>53.9925</v>
      </c>
      <c r="W277" s="38">
        <f>ROUND((L277*J275+1.3*L277*N275+S277*G275),4)</f>
        <v>3.5880000000000001</v>
      </c>
      <c r="X277" s="38">
        <f>ROUND((M277*0.9*J275+1.3*M277*0.9*N275+S277*G275),4)</f>
        <v>3.9929999999999999</v>
      </c>
      <c r="Y277" s="38">
        <f>ROUND((M277*J275+1.3*M277*N275+S277*G275),4)</f>
        <v>4.3979999999999997</v>
      </c>
      <c r="Z277" s="276">
        <f>ROUND((P275*T277*F275*O275/1000000),4)</f>
        <v>7.9000000000000008E-3</v>
      </c>
      <c r="AA277" s="276">
        <f>ROUND((Q275*U277*F275*O275/1000000),4)</f>
        <v>4.4000000000000003E-3</v>
      </c>
      <c r="AB277" s="276">
        <f>ROUND((R275*V277*F275*O275/1000000),4)</f>
        <v>4.8999999999999998E-3</v>
      </c>
      <c r="AC277" s="277" t="s">
        <v>547</v>
      </c>
      <c r="AD277" s="278" t="s">
        <v>169</v>
      </c>
      <c r="AE277" s="40">
        <f>ROUND((((X277*E275)/1800)),4)</f>
        <v>2.2000000000000001E-3</v>
      </c>
      <c r="AF277" s="40">
        <f>ROUND(((Z277+AA277+AB277)),5)</f>
        <v>1.72E-2</v>
      </c>
      <c r="AG277" s="288"/>
      <c r="AH277" s="288"/>
      <c r="AI277" s="288"/>
    </row>
    <row r="278" spans="1:35" s="61" customFormat="1" ht="15" customHeight="1" x14ac:dyDescent="0.25">
      <c r="A278" s="39"/>
      <c r="B278" s="288"/>
      <c r="C278" s="39"/>
      <c r="D278" s="39"/>
      <c r="E278" s="39"/>
      <c r="F278" s="39"/>
      <c r="G278" s="39"/>
      <c r="H278" s="39"/>
      <c r="I278" s="39"/>
      <c r="J278" s="39"/>
      <c r="K278" s="39"/>
      <c r="L278" s="40">
        <v>0.26</v>
      </c>
      <c r="M278" s="40">
        <v>0.31</v>
      </c>
      <c r="N278" s="39"/>
      <c r="O278" s="39"/>
      <c r="P278" s="39"/>
      <c r="Q278" s="39"/>
      <c r="R278" s="39"/>
      <c r="S278" s="285">
        <v>0.18</v>
      </c>
      <c r="T278" s="38">
        <f>ROUND((L278*I275+1.3*L278*K275+S278*H275),4)</f>
        <v>98.355000000000004</v>
      </c>
      <c r="U278" s="38">
        <f>ROUND((M278*0.9*I275+1.3*M278*0.9*K275+S278*H275),4)</f>
        <v>104.7533</v>
      </c>
      <c r="V278" s="38">
        <f>ROUND((M278*I275+1.3*M278*K275+S278*H275),4)</f>
        <v>115.1925</v>
      </c>
      <c r="W278" s="38">
        <f>ROUND((L278*J275+1.3*L278*N275+S278*G275),4)</f>
        <v>8.1</v>
      </c>
      <c r="X278" s="38">
        <f>ROUND((M278*0.9*J275+1.3*M278*0.9*N275+S278*G275),4)</f>
        <v>8.6129999999999995</v>
      </c>
      <c r="Y278" s="38">
        <f>ROUND((M278*J275+1.3*N275+S278*G275),4)</f>
        <v>18.420000000000002</v>
      </c>
      <c r="Z278" s="276">
        <f>ROUND((P275*T278*F275*O275/1000000),4)</f>
        <v>1.77E-2</v>
      </c>
      <c r="AA278" s="276">
        <f>ROUND((Q275*U278*F275*O275/1000000),4)</f>
        <v>9.4000000000000004E-3</v>
      </c>
      <c r="AB278" s="276">
        <f>ROUND((R275*V278*F275*O275/1000000),4)</f>
        <v>1.04E-2</v>
      </c>
      <c r="AC278" s="277" t="s">
        <v>548</v>
      </c>
      <c r="AD278" s="278" t="s">
        <v>549</v>
      </c>
      <c r="AE278" s="40">
        <f>ROUND((((X278*E275)/1800)),4)</f>
        <v>4.7999999999999996E-3</v>
      </c>
      <c r="AF278" s="40">
        <f>ROUND(((Z278+AA278+AB278)),4)</f>
        <v>3.7499999999999999E-2</v>
      </c>
      <c r="AG278" s="288"/>
      <c r="AH278" s="288"/>
      <c r="AI278" s="288"/>
    </row>
    <row r="279" spans="1:35" s="61" customFormat="1" ht="15" customHeight="1" x14ac:dyDescent="0.25">
      <c r="A279" s="39"/>
      <c r="B279" s="280"/>
      <c r="C279" s="39"/>
      <c r="D279" s="39"/>
      <c r="E279" s="39"/>
      <c r="F279" s="39"/>
      <c r="G279" s="39"/>
      <c r="H279" s="39"/>
      <c r="I279" s="39"/>
      <c r="J279" s="39"/>
      <c r="K279" s="39"/>
      <c r="L279" s="40">
        <v>0.17</v>
      </c>
      <c r="M279" s="40">
        <v>0.25</v>
      </c>
      <c r="N279" s="39"/>
      <c r="O279" s="39"/>
      <c r="P279" s="39"/>
      <c r="Q279" s="39"/>
      <c r="R279" s="39"/>
      <c r="S279" s="285">
        <v>0.04</v>
      </c>
      <c r="T279" s="38">
        <f>ROUND((L279*I275+1.3*L279*K275+S279*H275),4)</f>
        <v>59.647500000000001</v>
      </c>
      <c r="U279" s="38">
        <f>ROUND((M279*0.9*I275+1.3*M279*0.9*K275+S279*H275),4)</f>
        <v>78.168800000000005</v>
      </c>
      <c r="V279" s="38">
        <f>ROUND((M279*I275+1.3*M279*K275+S279*H275),4)</f>
        <v>86.587500000000006</v>
      </c>
      <c r="W279" s="38">
        <f>ROUND((L279*J275+1.3*L279*N275+S279*G275),4)</f>
        <v>4.83</v>
      </c>
      <c r="X279" s="38">
        <f>ROUND((M279*0.9*J275+1.3*M279*0.9*N275+S279*G275),4)</f>
        <v>6.3150000000000004</v>
      </c>
      <c r="Y279" s="38">
        <f>ROUND((M279*J275+1.3*M279*N275+S279*G275),4)</f>
        <v>6.99</v>
      </c>
      <c r="Z279" s="276">
        <f>ROUND((P275*T279*F275*O275/1000000),4)</f>
        <v>1.0699999999999999E-2</v>
      </c>
      <c r="AA279" s="276">
        <f>ROUND((Q275*U279*F275*O275/1000000),4)</f>
        <v>7.0000000000000001E-3</v>
      </c>
      <c r="AB279" s="276">
        <f>ROUND((R275*V279*F275*O275/1000000),4)</f>
        <v>7.7999999999999996E-3</v>
      </c>
      <c r="AC279" s="277" t="s">
        <v>172</v>
      </c>
      <c r="AD279" s="278" t="s">
        <v>173</v>
      </c>
      <c r="AE279" s="40">
        <f>ROUND((((X279*E275)/1800)),4)</f>
        <v>3.5000000000000001E-3</v>
      </c>
      <c r="AF279" s="40">
        <f>ROUND(((Z279+AA279+AB279)),4)</f>
        <v>2.5499999999999998E-2</v>
      </c>
      <c r="AG279" s="288"/>
      <c r="AH279" s="288"/>
      <c r="AI279" s="288"/>
    </row>
    <row r="280" spans="1:35" s="61" customFormat="1" ht="15" customHeight="1" x14ac:dyDescent="0.25">
      <c r="A280" s="39"/>
      <c r="B280" s="286"/>
      <c r="C280" s="119"/>
      <c r="D280" s="119"/>
      <c r="E280" s="119"/>
      <c r="F280" s="119"/>
      <c r="G280" s="119"/>
      <c r="H280" s="119"/>
      <c r="I280" s="119"/>
      <c r="J280" s="119"/>
      <c r="K280" s="119"/>
      <c r="L280" s="40">
        <v>0.77</v>
      </c>
      <c r="M280" s="40">
        <v>0.94</v>
      </c>
      <c r="N280" s="119"/>
      <c r="O280" s="119"/>
      <c r="P280" s="119"/>
      <c r="Q280" s="119"/>
      <c r="R280" s="119"/>
      <c r="S280" s="285">
        <v>1.44</v>
      </c>
      <c r="T280" s="38">
        <f>ROUND((L280*I275+1.3*L280*K275+S280*H275),4)</f>
        <v>345.69749999999999</v>
      </c>
      <c r="U280" s="38">
        <f>ROUND((M280*0.9*I275+1.3*M280*0.9*K275+S280*H275),4)</f>
        <v>371.29050000000001</v>
      </c>
      <c r="V280" s="38">
        <f>ROUND((M280*I275+1.3*M280*K275+S280*H275),4)</f>
        <v>402.94499999999999</v>
      </c>
      <c r="W280" s="38">
        <f>ROUND((L280*J275+1.3*L280*N275+S280*G275),4)</f>
        <v>29.43</v>
      </c>
      <c r="X280" s="38">
        <f>ROUND((M280*0.9*J275+1.3*M280*0.9*N275+S280*G275),4)</f>
        <v>31.481999999999999</v>
      </c>
      <c r="Y280" s="38">
        <f>ROUND((M280*J275+1.3*M280*N275+S280*G275),4)</f>
        <v>34.020000000000003</v>
      </c>
      <c r="Z280" s="276">
        <f>ROUND((P275*T280*F275*O275/1000000),4)</f>
        <v>6.2199999999999998E-2</v>
      </c>
      <c r="AA280" s="276">
        <f>ROUND((Q275*U280*F275*O275/1000000),4)</f>
        <v>3.3399999999999999E-2</v>
      </c>
      <c r="AB280" s="276">
        <f>ROUND((R275*V280*F275*O275/1000000),4)</f>
        <v>3.6299999999999999E-2</v>
      </c>
      <c r="AC280" s="277" t="s">
        <v>157</v>
      </c>
      <c r="AD280" s="278" t="s">
        <v>153</v>
      </c>
      <c r="AE280" s="40">
        <f>ROUND((((X280*E275)/1800)),4)</f>
        <v>1.7500000000000002E-2</v>
      </c>
      <c r="AF280" s="40">
        <f>ROUND(((Z280+AA280+AB280)),4)</f>
        <v>0.13189999999999999</v>
      </c>
      <c r="AG280" s="288"/>
      <c r="AH280" s="288"/>
      <c r="AI280" s="288"/>
    </row>
    <row r="281" spans="1:35" s="61" customFormat="1" ht="15" customHeight="1" x14ac:dyDescent="0.25">
      <c r="A281" s="39"/>
      <c r="B281" s="255" t="s">
        <v>603</v>
      </c>
      <c r="C281" s="30">
        <v>4</v>
      </c>
      <c r="D281" s="30" t="s">
        <v>545</v>
      </c>
      <c r="E281" s="30">
        <v>1</v>
      </c>
      <c r="F281" s="30">
        <v>1</v>
      </c>
      <c r="G281" s="30">
        <v>6</v>
      </c>
      <c r="H281" s="30">
        <v>60</v>
      </c>
      <c r="I281" s="30">
        <f>(8-1-0.75*2)*60*F281-K281-8*0.12*60</f>
        <v>57.900000000000006</v>
      </c>
      <c r="J281" s="30">
        <v>14</v>
      </c>
      <c r="K281" s="30">
        <f>(8-1-0.75*2)*0.65*60*F281</f>
        <v>214.5</v>
      </c>
      <c r="L281" s="30">
        <v>2.4700000000000002</v>
      </c>
      <c r="M281" s="30">
        <v>2.4700000000000002</v>
      </c>
      <c r="N281" s="30">
        <v>10</v>
      </c>
      <c r="O281" s="30">
        <f>E281/F281</f>
        <v>1</v>
      </c>
      <c r="P281" s="30">
        <v>180</v>
      </c>
      <c r="Q281" s="30">
        <v>90</v>
      </c>
      <c r="R281" s="256">
        <v>90</v>
      </c>
      <c r="S281" s="30">
        <v>0.48</v>
      </c>
      <c r="T281" s="30">
        <f>ROUND((L281*I281+1.3*L281*K281+S281*H281),4)</f>
        <v>860.57249999999999</v>
      </c>
      <c r="U281" s="30">
        <f>ROUND((M281*I281+1.3*M281*K281+S281*H281),4)</f>
        <v>860.57249999999999</v>
      </c>
      <c r="V281" s="30">
        <f>ROUND((M281*I281+1.3*M281*K281+S281*H281),4)</f>
        <v>860.57249999999999</v>
      </c>
      <c r="W281" s="30">
        <f>ROUND((L281*J281+1.3*L281*N281+S281*G281),4)</f>
        <v>69.569999999999993</v>
      </c>
      <c r="X281" s="30">
        <f>ROUND((M281*J281+1.3*M281*N281+S281*G281),4)</f>
        <v>69.569999999999993</v>
      </c>
      <c r="Y281" s="30">
        <f>ROUND((M281*J281+1.3*M281*N281+S281*G281),4)</f>
        <v>69.569999999999993</v>
      </c>
      <c r="Z281" s="257">
        <f>ROUND((P281*T281*F281*O281/1000000),4)</f>
        <v>0.15490000000000001</v>
      </c>
      <c r="AA281" s="257">
        <f>ROUND((Q281*U281*F281*O281/1000000),4)</f>
        <v>7.7499999999999999E-2</v>
      </c>
      <c r="AB281" s="257">
        <f>ROUND((R281*V281*F281*O281/1000000),4)</f>
        <v>7.7499999999999999E-2</v>
      </c>
      <c r="AC281" s="258" t="s">
        <v>165</v>
      </c>
      <c r="AD281" s="259" t="s">
        <v>144</v>
      </c>
      <c r="AE281" s="34">
        <f>ROUND((((X281*E281)/1800)*0.8),4)</f>
        <v>3.09E-2</v>
      </c>
      <c r="AF281" s="34">
        <f>ROUND(((Z281+AA281+AB281)*0.8),4)</f>
        <v>0.24790000000000001</v>
      </c>
      <c r="AG281" s="288"/>
      <c r="AH281" s="288"/>
      <c r="AI281" s="288"/>
    </row>
    <row r="282" spans="1:35" s="61" customFormat="1" ht="15" customHeight="1" x14ac:dyDescent="0.25">
      <c r="A282" s="39"/>
      <c r="B282" s="261" t="s">
        <v>604</v>
      </c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262"/>
      <c r="T282" s="32"/>
      <c r="U282" s="32"/>
      <c r="V282" s="32"/>
      <c r="W282" s="32"/>
      <c r="X282" s="32"/>
      <c r="Y282" s="32"/>
      <c r="Z282" s="32"/>
      <c r="AA282" s="32"/>
      <c r="AB282" s="32"/>
      <c r="AC282" s="258" t="s">
        <v>166</v>
      </c>
      <c r="AD282" s="259" t="s">
        <v>167</v>
      </c>
      <c r="AE282" s="34">
        <f>ROUND((((X281*E281)/1800)*0.13),4)</f>
        <v>5.0000000000000001E-3</v>
      </c>
      <c r="AF282" s="34">
        <f>ROUND(((Z281+AA281+AB281)*0.13),4)</f>
        <v>4.0300000000000002E-2</v>
      </c>
      <c r="AG282" s="288"/>
      <c r="AH282" s="288"/>
      <c r="AI282" s="288"/>
    </row>
    <row r="283" spans="1:35" s="61" customFormat="1" ht="15" customHeight="1" x14ac:dyDescent="0.25">
      <c r="A283" s="39"/>
      <c r="B283" s="261"/>
      <c r="C283" s="263"/>
      <c r="D283" s="263"/>
      <c r="E283" s="32"/>
      <c r="F283" s="32"/>
      <c r="G283" s="32"/>
      <c r="H283" s="32"/>
      <c r="I283" s="32"/>
      <c r="J283" s="32"/>
      <c r="K283" s="32"/>
      <c r="L283" s="32">
        <v>0.19</v>
      </c>
      <c r="M283" s="32">
        <v>0.23</v>
      </c>
      <c r="N283" s="32"/>
      <c r="O283" s="32"/>
      <c r="P283" s="32"/>
      <c r="Q283" s="32"/>
      <c r="R283" s="32"/>
      <c r="S283" s="33">
        <v>9.7000000000000003E-2</v>
      </c>
      <c r="T283" s="30">
        <f>ROUND((L283*I281+1.3*L283*K281+S283*H281),4)</f>
        <v>69.802499999999995</v>
      </c>
      <c r="U283" s="30">
        <f>ROUND((M283*0.9*I281+1.3*M283*0.9*K281+S283*H281),4)</f>
        <v>75.527299999999997</v>
      </c>
      <c r="V283" s="30">
        <f>ROUND((M283*I281+1.3*M283*K281+S283*H281),4)</f>
        <v>83.272499999999994</v>
      </c>
      <c r="W283" s="30">
        <f>ROUND((L283*J281+1.3*L283*N281+S283*G281),4)</f>
        <v>5.7119999999999997</v>
      </c>
      <c r="X283" s="30">
        <f>ROUND((M283*0.9*J281+1.3*M283*0.9*N281+S283*G281),4)</f>
        <v>6.1710000000000003</v>
      </c>
      <c r="Y283" s="30">
        <f>ROUND((M283*J281+1.3*M283*N281+S283*G281),4)</f>
        <v>6.7919999999999998</v>
      </c>
      <c r="Z283" s="257">
        <f>ROUND((P281*T283*F281*O281/1000000),4)</f>
        <v>1.26E-2</v>
      </c>
      <c r="AA283" s="257">
        <f>ROUND((Q281*U283*F281*O281/1000000),4)</f>
        <v>6.7999999999999996E-3</v>
      </c>
      <c r="AB283" s="257">
        <f>ROUND((R281*V283*F281*O281/1000000),4)</f>
        <v>7.4999999999999997E-3</v>
      </c>
      <c r="AC283" s="258" t="s">
        <v>547</v>
      </c>
      <c r="AD283" s="259" t="s">
        <v>169</v>
      </c>
      <c r="AE283" s="34">
        <f>ROUND((((X283*E281)/1800)),4)</f>
        <v>3.3999999999999998E-3</v>
      </c>
      <c r="AF283" s="34">
        <f>ROUND(((Z283+AA283+AB283)),5)</f>
        <v>2.69E-2</v>
      </c>
      <c r="AG283" s="288"/>
      <c r="AH283" s="288"/>
      <c r="AI283" s="288"/>
    </row>
    <row r="284" spans="1:35" s="61" customFormat="1" ht="15" customHeight="1" x14ac:dyDescent="0.25">
      <c r="A284" s="39"/>
      <c r="B284" s="264"/>
      <c r="C284" s="32"/>
      <c r="D284" s="32"/>
      <c r="E284" s="32"/>
      <c r="F284" s="32"/>
      <c r="G284" s="32"/>
      <c r="H284" s="32"/>
      <c r="I284" s="32"/>
      <c r="J284" s="32"/>
      <c r="K284" s="32"/>
      <c r="L284" s="32">
        <v>0.43</v>
      </c>
      <c r="M284" s="32">
        <v>0.51</v>
      </c>
      <c r="N284" s="32"/>
      <c r="O284" s="32"/>
      <c r="P284" s="32"/>
      <c r="Q284" s="32"/>
      <c r="R284" s="32"/>
      <c r="S284" s="33">
        <v>0.3</v>
      </c>
      <c r="T284" s="30">
        <f>ROUND((L284*I281+1.3*L284*K281+S284*H281),4)</f>
        <v>162.80250000000001</v>
      </c>
      <c r="U284" s="30">
        <f>ROUND((M284*0.9*I281+1.3*M284*0.9*K281+S284*H281),4)</f>
        <v>172.56829999999999</v>
      </c>
      <c r="V284" s="30">
        <f>ROUND((M284*I281+1.3*M284*K281+S284*H281),4)</f>
        <v>189.74250000000001</v>
      </c>
      <c r="W284" s="30">
        <f>ROUND((L284*J281+1.3*L284*N281+S284*G281),4)</f>
        <v>13.41</v>
      </c>
      <c r="X284" s="30">
        <f>ROUND((M284*0.9*J281+1.3*M284*0.9*N281+S284*G281),4)</f>
        <v>14.193</v>
      </c>
      <c r="Y284" s="30">
        <f>ROUND((M284*J281+1.3*N281+S284*G281),4)</f>
        <v>21.94</v>
      </c>
      <c r="Z284" s="257">
        <f>ROUND((P281*T284*F281*O281/1000000),4)</f>
        <v>2.93E-2</v>
      </c>
      <c r="AA284" s="257">
        <f>ROUND((Q281*U284*F281*O281/1000000),4)</f>
        <v>1.55E-2</v>
      </c>
      <c r="AB284" s="257">
        <f>ROUND((R281*V284*F281*O281/1000000),4)</f>
        <v>1.7100000000000001E-2</v>
      </c>
      <c r="AC284" s="258" t="s">
        <v>548</v>
      </c>
      <c r="AD284" s="259" t="s">
        <v>549</v>
      </c>
      <c r="AE284" s="34">
        <f>ROUND((((X284*E281)/1800)),4)</f>
        <v>7.9000000000000008E-3</v>
      </c>
      <c r="AF284" s="34">
        <f>ROUND(((Z284+AA284+AB284)),4)</f>
        <v>6.1899999999999997E-2</v>
      </c>
      <c r="AG284" s="288"/>
      <c r="AH284" s="288"/>
      <c r="AI284" s="288"/>
    </row>
    <row r="285" spans="1:35" s="61" customFormat="1" ht="15" customHeight="1" x14ac:dyDescent="0.25">
      <c r="A285" s="39"/>
      <c r="B285" s="261"/>
      <c r="C285" s="32"/>
      <c r="D285" s="32"/>
      <c r="E285" s="32"/>
      <c r="F285" s="32"/>
      <c r="G285" s="32"/>
      <c r="H285" s="32"/>
      <c r="I285" s="32"/>
      <c r="J285" s="32"/>
      <c r="K285" s="32"/>
      <c r="L285" s="32">
        <v>0.27</v>
      </c>
      <c r="M285" s="32">
        <v>0.41</v>
      </c>
      <c r="N285" s="32"/>
      <c r="O285" s="32"/>
      <c r="P285" s="32"/>
      <c r="Q285" s="32"/>
      <c r="R285" s="32"/>
      <c r="S285" s="33">
        <v>0.06</v>
      </c>
      <c r="T285" s="30">
        <f>ROUND((L285*I281+1.3*L285*K281+S285*H281),4)</f>
        <v>94.522499999999994</v>
      </c>
      <c r="U285" s="30">
        <f>ROUND((M285*0.9*I281+1.3*M285*0.9*K281+S285*H281),4)</f>
        <v>127.8608</v>
      </c>
      <c r="V285" s="30">
        <f>ROUND((M285*I281+1.3*M285*K281+S285*H281),4)</f>
        <v>141.66749999999999</v>
      </c>
      <c r="W285" s="30">
        <f>ROUND((L285*J281+1.3*L285*N281+S285*G281),4)</f>
        <v>7.65</v>
      </c>
      <c r="X285" s="30">
        <f>ROUND((M285*0.9*J281+1.3*M285*0.9*N281+S285*G281),4)</f>
        <v>10.323</v>
      </c>
      <c r="Y285" s="30">
        <f>ROUND((M285*J281+1.3*M285*N281+S285*G281),4)</f>
        <v>11.43</v>
      </c>
      <c r="Z285" s="257">
        <f>ROUND((P281*T285*F281*O281/1000000),4)</f>
        <v>1.7000000000000001E-2</v>
      </c>
      <c r="AA285" s="257">
        <f>ROUND((Q281*U285*F281*O281/1000000),4)</f>
        <v>1.15E-2</v>
      </c>
      <c r="AB285" s="257">
        <f>ROUND((R281*V285*F281*O281/1000000),4)</f>
        <v>1.2800000000000001E-2</v>
      </c>
      <c r="AC285" s="258" t="s">
        <v>172</v>
      </c>
      <c r="AD285" s="259" t="s">
        <v>173</v>
      </c>
      <c r="AE285" s="34">
        <f>ROUND((((X285*E281)/1800)),4)</f>
        <v>5.7000000000000002E-3</v>
      </c>
      <c r="AF285" s="34">
        <f>ROUND(((Z285+AA285+AB285)),4)</f>
        <v>4.1300000000000003E-2</v>
      </c>
      <c r="AG285" s="288"/>
      <c r="AH285" s="288"/>
      <c r="AI285" s="288"/>
    </row>
    <row r="286" spans="1:35" s="61" customFormat="1" ht="15" customHeight="1" x14ac:dyDescent="0.25">
      <c r="A286" s="39"/>
      <c r="B286" s="265"/>
      <c r="C286" s="265"/>
      <c r="D286" s="265"/>
      <c r="E286" s="265"/>
      <c r="F286" s="265"/>
      <c r="G286" s="265"/>
      <c r="H286" s="265"/>
      <c r="I286" s="265"/>
      <c r="J286" s="265"/>
      <c r="K286" s="265"/>
      <c r="L286" s="265">
        <v>1.29</v>
      </c>
      <c r="M286" s="265">
        <v>1.57</v>
      </c>
      <c r="N286" s="265"/>
      <c r="O286" s="265"/>
      <c r="P286" s="265"/>
      <c r="Q286" s="265"/>
      <c r="R286" s="265"/>
      <c r="S286" s="33">
        <v>2.4</v>
      </c>
      <c r="T286" s="33">
        <f>ROUND((L286*I281+1.3*L286*K281+S286*H281),4)</f>
        <v>578.40750000000003</v>
      </c>
      <c r="U286" s="33">
        <f>ROUND((M286*0.9*I281+1.3*M286*0.9*K281+S286*H281),4)</f>
        <v>619.82780000000002</v>
      </c>
      <c r="V286" s="33">
        <f>ROUND((M286*I281+1.3*M286*K281+S286*H281),4)</f>
        <v>672.69749999999999</v>
      </c>
      <c r="W286" s="33">
        <f>ROUND((L286*J281+1.3*L286*N281+S286*G281),4)</f>
        <v>49.23</v>
      </c>
      <c r="X286" s="33">
        <f>ROUND((M286*0.9*J281+1.3*M286*0.9*N281+S286*G281),4)</f>
        <v>52.551000000000002</v>
      </c>
      <c r="Y286" s="33">
        <f>ROUND((M286*J281+1.3*M286*N281+S286*G281),4)</f>
        <v>56.79</v>
      </c>
      <c r="Z286" s="266">
        <f>ROUND((P281*T286*F281*O281/1000000),4)</f>
        <v>0.1041</v>
      </c>
      <c r="AA286" s="266">
        <f>ROUND((Q281*U286*F281*O281/1000000),4)</f>
        <v>5.5800000000000002E-2</v>
      </c>
      <c r="AB286" s="266">
        <f>ROUND((R281*V286*F281*O281/1000000),4)</f>
        <v>6.0499999999999998E-2</v>
      </c>
      <c r="AC286" s="258" t="s">
        <v>157</v>
      </c>
      <c r="AD286" s="259" t="s">
        <v>153</v>
      </c>
      <c r="AE286" s="34">
        <f>ROUND((((X286*E281)/1800)),4)</f>
        <v>2.92E-2</v>
      </c>
      <c r="AF286" s="34">
        <f>ROUND(((Z286+AA286+AB286)),4)</f>
        <v>0.22040000000000001</v>
      </c>
      <c r="AG286" s="288"/>
      <c r="AH286" s="288"/>
      <c r="AI286" s="288"/>
    </row>
    <row r="287" spans="1:35" s="61" customFormat="1" ht="15" customHeight="1" x14ac:dyDescent="0.25">
      <c r="A287" s="260"/>
      <c r="B287" s="1636" t="s">
        <v>1016</v>
      </c>
      <c r="C287" s="30">
        <v>3</v>
      </c>
      <c r="D287" s="30" t="s">
        <v>579</v>
      </c>
      <c r="E287" s="30">
        <v>2</v>
      </c>
      <c r="F287" s="30">
        <v>25</v>
      </c>
      <c r="G287" s="30">
        <v>6</v>
      </c>
      <c r="H287" s="30">
        <v>60</v>
      </c>
      <c r="I287" s="30">
        <f>(8-1-0.75*2)*60*F287-K287-8*0.12*60</f>
        <v>2829.9</v>
      </c>
      <c r="J287" s="30">
        <v>14</v>
      </c>
      <c r="K287" s="30">
        <f>(8-1-0.75*2)*0.65*60*F287</f>
        <v>5362.5</v>
      </c>
      <c r="L287" s="30">
        <v>1.49</v>
      </c>
      <c r="M287" s="30">
        <v>1.49</v>
      </c>
      <c r="N287" s="30">
        <v>10</v>
      </c>
      <c r="O287" s="30">
        <f>E287/F287</f>
        <v>0.08</v>
      </c>
      <c r="P287" s="30">
        <v>180</v>
      </c>
      <c r="Q287" s="30">
        <v>90</v>
      </c>
      <c r="R287" s="256">
        <v>90</v>
      </c>
      <c r="S287" s="256">
        <v>0.28999999999999998</v>
      </c>
      <c r="T287" s="30">
        <f>ROUND((L287*I287+1.3*L287*K287+S287*H287),4)</f>
        <v>14621.113499999999</v>
      </c>
      <c r="U287" s="30">
        <f>ROUND((M287*I287+1.3*M287*K287+S287*H287),4)</f>
        <v>14621.113499999999</v>
      </c>
      <c r="V287" s="30">
        <f>ROUND((M287*I287+1.3*M287*K287+S287*H287),4)</f>
        <v>14621.113499999999</v>
      </c>
      <c r="W287" s="30">
        <f>ROUND((L287*J287+1.3*L287*N287+S287*G287),4)</f>
        <v>41.97</v>
      </c>
      <c r="X287" s="30">
        <f>ROUND((M287*J287+1.3*M287*N287+S287*G287),4)</f>
        <v>41.97</v>
      </c>
      <c r="Y287" s="30">
        <f>ROUND((M287*J287+1.3*M287*N287+S287*G287),4)</f>
        <v>41.97</v>
      </c>
      <c r="Z287" s="257">
        <f>ROUND((P287*T287*F287*O287/1000000),4)</f>
        <v>5.2636000000000003</v>
      </c>
      <c r="AA287" s="257">
        <f>ROUND((Q287*U287*F287*O287/1000000),4)</f>
        <v>2.6318000000000001</v>
      </c>
      <c r="AB287" s="257">
        <f>ROUND((R287*V287*F287*O287/1000000),4)</f>
        <v>2.6318000000000001</v>
      </c>
      <c r="AC287" s="258" t="s">
        <v>165</v>
      </c>
      <c r="AD287" s="259" t="s">
        <v>144</v>
      </c>
      <c r="AE287" s="34">
        <f>ROUND((((X287*E287)/1800)*0.8),4)</f>
        <v>3.73E-2</v>
      </c>
      <c r="AF287" s="34">
        <f>ROUND(((Z287+AA287+AB287)*0.8),4)</f>
        <v>8.4217999999999993</v>
      </c>
    </row>
    <row r="288" spans="1:35" s="61" customFormat="1" ht="15" customHeight="1" x14ac:dyDescent="0.25">
      <c r="A288" s="260"/>
      <c r="B288" s="1636"/>
      <c r="C288" s="32"/>
      <c r="D288" s="32"/>
      <c r="E288" s="32"/>
      <c r="F288" s="32"/>
      <c r="G288" s="32"/>
      <c r="H288" s="32"/>
      <c r="I288" s="32"/>
      <c r="J288" s="32"/>
      <c r="K288" s="32"/>
      <c r="L288" s="265"/>
      <c r="M288" s="265"/>
      <c r="N288" s="32"/>
      <c r="O288" s="32"/>
      <c r="P288" s="32"/>
      <c r="Q288" s="32"/>
      <c r="R288" s="32"/>
      <c r="S288" s="268"/>
      <c r="T288" s="32"/>
      <c r="U288" s="32"/>
      <c r="V288" s="32"/>
      <c r="W288" s="32"/>
      <c r="X288" s="32"/>
      <c r="Y288" s="32"/>
      <c r="Z288" s="32"/>
      <c r="AA288" s="32"/>
      <c r="AB288" s="32"/>
      <c r="AC288" s="258" t="s">
        <v>166</v>
      </c>
      <c r="AD288" s="259" t="s">
        <v>167</v>
      </c>
      <c r="AE288" s="34">
        <f>ROUND((((X287*E287)/1800)*0.13),4)</f>
        <v>6.1000000000000004E-3</v>
      </c>
      <c r="AF288" s="34">
        <f>ROUND(((Z287+AA287+AB287)*0.13),4)</f>
        <v>1.3685</v>
      </c>
    </row>
    <row r="289" spans="1:34" s="61" customFormat="1" ht="15" customHeight="1" x14ac:dyDescent="0.25">
      <c r="A289" s="260"/>
      <c r="B289" s="1640" t="s">
        <v>585</v>
      </c>
      <c r="C289" s="263"/>
      <c r="D289" s="263"/>
      <c r="E289" s="32"/>
      <c r="F289" s="32"/>
      <c r="G289" s="32"/>
      <c r="H289" s="32"/>
      <c r="I289" s="32"/>
      <c r="J289" s="32"/>
      <c r="K289" s="32"/>
      <c r="L289" s="34">
        <v>0.12</v>
      </c>
      <c r="M289" s="34">
        <v>0.15</v>
      </c>
      <c r="N289" s="32"/>
      <c r="O289" s="32"/>
      <c r="P289" s="32"/>
      <c r="Q289" s="32"/>
      <c r="R289" s="32"/>
      <c r="S289" s="270">
        <v>5.8000000000000003E-2</v>
      </c>
      <c r="T289" s="30">
        <f>ROUND((L289*I287+1.3*L289*K287+S289*H287),4)</f>
        <v>1179.6179999999999</v>
      </c>
      <c r="U289" s="30">
        <f>ROUND((M289*0.9*I287+1.3*M289*0.9*K287+S289*H287),4)</f>
        <v>1326.6352999999999</v>
      </c>
      <c r="V289" s="30">
        <f>ROUND((M289*I287+1.3*M289*K287+S289*H287),4)</f>
        <v>1473.6524999999999</v>
      </c>
      <c r="W289" s="30">
        <f>ROUND((L289*J287+1.3*L289*N287+S289*G287),4)</f>
        <v>3.5880000000000001</v>
      </c>
      <c r="X289" s="30">
        <f>ROUND((M289*0.9*J287+1.3*M289*0.9*N287+S289*G287),4)</f>
        <v>3.9929999999999999</v>
      </c>
      <c r="Y289" s="30">
        <f>ROUND((M289*J287+1.3*M289*N287+S289*G287),4)</f>
        <v>4.3979999999999997</v>
      </c>
      <c r="Z289" s="257">
        <f>ROUND((P287*T289*F287*O287/1000000),4)</f>
        <v>0.42470000000000002</v>
      </c>
      <c r="AA289" s="257">
        <f>ROUND((Q287*U289*F287*O287/1000000),4)</f>
        <v>0.23880000000000001</v>
      </c>
      <c r="AB289" s="257">
        <f>ROUND((R287*V289*F287*O287/1000000),4)</f>
        <v>0.26529999999999998</v>
      </c>
      <c r="AC289" s="258" t="s">
        <v>547</v>
      </c>
      <c r="AD289" s="259" t="s">
        <v>169</v>
      </c>
      <c r="AE289" s="34">
        <f>ROUND((((X289*E287)/1800)),4)</f>
        <v>4.4000000000000003E-3</v>
      </c>
      <c r="AF289" s="34">
        <f>ROUND(((Z289+AA289+AB289)),5)</f>
        <v>0.92879999999999996</v>
      </c>
    </row>
    <row r="290" spans="1:34" s="61" customFormat="1" ht="15" customHeight="1" x14ac:dyDescent="0.25">
      <c r="A290" s="260"/>
      <c r="B290" s="1640"/>
      <c r="C290" s="32"/>
      <c r="D290" s="32"/>
      <c r="E290" s="32"/>
      <c r="F290" s="32"/>
      <c r="G290" s="32"/>
      <c r="H290" s="32"/>
      <c r="I290" s="32"/>
      <c r="J290" s="32"/>
      <c r="K290" s="32"/>
      <c r="L290" s="34">
        <v>0.26</v>
      </c>
      <c r="M290" s="34">
        <v>0.31</v>
      </c>
      <c r="N290" s="32"/>
      <c r="O290" s="32"/>
      <c r="P290" s="32"/>
      <c r="Q290" s="32"/>
      <c r="R290" s="32"/>
      <c r="S290" s="271">
        <v>0.18</v>
      </c>
      <c r="T290" s="30">
        <f>ROUND((L290*I287+1.3*L290*K287+S290*H287),4)</f>
        <v>2559.0990000000002</v>
      </c>
      <c r="U290" s="30">
        <f>ROUND((M290*0.9*I287+1.3*M290*0.9*K287+S290*H287),4)</f>
        <v>2745.3209000000002</v>
      </c>
      <c r="V290" s="30">
        <f>ROUND((M290*I287+1.3*M290*K287+S290*H287),4)</f>
        <v>3049.1565000000001</v>
      </c>
      <c r="W290" s="30">
        <f>ROUND((L290*J287+1.3*L290*N287+S290*G287),4)</f>
        <v>8.1</v>
      </c>
      <c r="X290" s="30">
        <f>ROUND((M290*0.9*J287+1.3*M290*0.9*N287+S290*G287),4)</f>
        <v>8.6129999999999995</v>
      </c>
      <c r="Y290" s="30">
        <f>ROUND((M290*J287+1.3*N287+S290*G287),4)</f>
        <v>18.420000000000002</v>
      </c>
      <c r="Z290" s="257">
        <f>ROUND((P287*T290*F287*O287/1000000),4)</f>
        <v>0.92130000000000001</v>
      </c>
      <c r="AA290" s="257">
        <f>ROUND((Q287*U290*F287*O287/1000000),4)</f>
        <v>0.49419999999999997</v>
      </c>
      <c r="AB290" s="257">
        <f>ROUND((R287*V290*F287*O287/1000000),4)</f>
        <v>0.54879999999999995</v>
      </c>
      <c r="AC290" s="258" t="s">
        <v>548</v>
      </c>
      <c r="AD290" s="259" t="s">
        <v>549</v>
      </c>
      <c r="AE290" s="34">
        <f>ROUND((((X290*E287)/1800)),4)</f>
        <v>9.5999999999999992E-3</v>
      </c>
      <c r="AF290" s="34">
        <f>ROUND(((Z290+AA290+AB290)),4)</f>
        <v>1.9642999999999999</v>
      </c>
    </row>
    <row r="291" spans="1:34" s="61" customFormat="1" ht="15" customHeight="1" x14ac:dyDescent="0.25">
      <c r="A291" s="260"/>
      <c r="B291" s="261"/>
      <c r="C291" s="32"/>
      <c r="D291" s="32"/>
      <c r="E291" s="32"/>
      <c r="F291" s="32"/>
      <c r="G291" s="32"/>
      <c r="H291" s="32"/>
      <c r="I291" s="32"/>
      <c r="J291" s="32"/>
      <c r="K291" s="32"/>
      <c r="L291" s="34">
        <v>0.17</v>
      </c>
      <c r="M291" s="34">
        <v>0.25</v>
      </c>
      <c r="N291" s="32"/>
      <c r="O291" s="32"/>
      <c r="P291" s="32"/>
      <c r="Q291" s="32"/>
      <c r="R291" s="32"/>
      <c r="S291" s="271">
        <v>0.04</v>
      </c>
      <c r="T291" s="30">
        <f>ROUND((L291*I287+1.3*L291*K287+S291*H287),4)</f>
        <v>1668.5954999999999</v>
      </c>
      <c r="U291" s="30">
        <f>ROUND((M291*0.9*I287+1.3*M291*0.9*K287+S291*H287),4)</f>
        <v>2207.6588000000002</v>
      </c>
      <c r="V291" s="30">
        <f>ROUND((M291*I287+1.3*M291*K287+S291*H287),4)</f>
        <v>2452.6875</v>
      </c>
      <c r="W291" s="30">
        <f>ROUND((L291*J287+1.3*L291*N287+S291*G287),4)</f>
        <v>4.83</v>
      </c>
      <c r="X291" s="30">
        <f>ROUND((M291*0.9*J287+1.3*M291*0.9*N287+S291*G287),4)</f>
        <v>6.3150000000000004</v>
      </c>
      <c r="Y291" s="30">
        <f>ROUND((M291*J287+1.3*M291*N287+S291*G287),4)</f>
        <v>6.99</v>
      </c>
      <c r="Z291" s="257">
        <f>ROUND((P287*T291*F287*O287/1000000),4)</f>
        <v>0.60070000000000001</v>
      </c>
      <c r="AA291" s="257">
        <f>ROUND((Q287*U291*F287*O287/1000000),4)</f>
        <v>0.39739999999999998</v>
      </c>
      <c r="AB291" s="257">
        <f>ROUND((R287*V291*F287*O287/1000000),4)</f>
        <v>0.4415</v>
      </c>
      <c r="AC291" s="258" t="s">
        <v>172</v>
      </c>
      <c r="AD291" s="259" t="s">
        <v>173</v>
      </c>
      <c r="AE291" s="34">
        <f>ROUND((((X291*E287)/1800)),4)</f>
        <v>7.0000000000000001E-3</v>
      </c>
      <c r="AF291" s="34">
        <f>ROUND(((Z291+AA291+AB291)),4)</f>
        <v>1.4396</v>
      </c>
    </row>
    <row r="292" spans="1:34" s="61" customFormat="1" ht="15" customHeight="1" x14ac:dyDescent="0.25">
      <c r="A292" s="260"/>
      <c r="B292" s="272"/>
      <c r="C292" s="265"/>
      <c r="D292" s="265"/>
      <c r="E292" s="265"/>
      <c r="F292" s="265"/>
      <c r="G292" s="265"/>
      <c r="H292" s="265"/>
      <c r="I292" s="265"/>
      <c r="J292" s="265"/>
      <c r="K292" s="265"/>
      <c r="L292" s="34">
        <v>0.77</v>
      </c>
      <c r="M292" s="34">
        <v>0.94</v>
      </c>
      <c r="N292" s="265"/>
      <c r="O292" s="265"/>
      <c r="P292" s="265"/>
      <c r="Q292" s="265"/>
      <c r="R292" s="265"/>
      <c r="S292" s="271">
        <v>1.44</v>
      </c>
      <c r="T292" s="30">
        <f>ROUND((L292*I287+1.3*L292*K287+S292*H287),4)</f>
        <v>7633.2855</v>
      </c>
      <c r="U292" s="30">
        <f>ROUND((M292*0.9*I287+1.3*M292*0.9*K287+S292*H287),4)</f>
        <v>8378.1728999999996</v>
      </c>
      <c r="V292" s="30">
        <f>ROUND((M292*I287+1.3*M292*K287+S292*H287),4)</f>
        <v>9299.4809999999998</v>
      </c>
      <c r="W292" s="30">
        <f>ROUND((L292*J287+1.3*L292*N287+S292*G287),4)</f>
        <v>29.43</v>
      </c>
      <c r="X292" s="30">
        <f>ROUND((M292*0.9*J287+1.3*M292*0.9*N287+S292*G287),4)</f>
        <v>31.481999999999999</v>
      </c>
      <c r="Y292" s="30">
        <f>ROUND((M292*J287+1.3*M292*N287+S292*G287),4)</f>
        <v>34.020000000000003</v>
      </c>
      <c r="Z292" s="257">
        <f>ROUND((P287*T292*F287*O287/1000000),4)</f>
        <v>2.7480000000000002</v>
      </c>
      <c r="AA292" s="257">
        <f>ROUND((Q287*U292*F287*O287/1000000),4)</f>
        <v>1.5081</v>
      </c>
      <c r="AB292" s="257">
        <f>ROUND((R287*V292*F287*O287/1000000),4)</f>
        <v>1.6738999999999999</v>
      </c>
      <c r="AC292" s="258" t="s">
        <v>157</v>
      </c>
      <c r="AD292" s="259" t="s">
        <v>153</v>
      </c>
      <c r="AE292" s="34">
        <f>ROUND((((X292*E287)/1800)),4)</f>
        <v>3.5000000000000003E-2</v>
      </c>
      <c r="AF292" s="34">
        <f>ROUND(((Z292+AA292+AB292)),4)</f>
        <v>5.93</v>
      </c>
    </row>
    <row r="293" spans="1:34" s="61" customFormat="1" ht="15" customHeight="1" x14ac:dyDescent="0.25">
      <c r="A293" s="260"/>
      <c r="B293" s="255" t="s">
        <v>586</v>
      </c>
      <c r="C293" s="255">
        <v>6</v>
      </c>
      <c r="D293" s="30" t="s">
        <v>556</v>
      </c>
      <c r="E293" s="30">
        <v>1</v>
      </c>
      <c r="F293" s="30">
        <v>4</v>
      </c>
      <c r="G293" s="30">
        <v>6</v>
      </c>
      <c r="H293" s="30">
        <v>60</v>
      </c>
      <c r="I293" s="30">
        <f>(8-1-0.75*2)*60*F293-K293-8*0.12*60</f>
        <v>404.4</v>
      </c>
      <c r="J293" s="30">
        <v>14</v>
      </c>
      <c r="K293" s="30">
        <f>(8-1-0.75*2)*0.65*60*F293</f>
        <v>858</v>
      </c>
      <c r="L293" s="30">
        <v>6.47</v>
      </c>
      <c r="M293" s="30">
        <v>6.47</v>
      </c>
      <c r="N293" s="30">
        <v>10</v>
      </c>
      <c r="O293" s="30">
        <f>E293/F293</f>
        <v>0.25</v>
      </c>
      <c r="P293" s="30">
        <v>180</v>
      </c>
      <c r="Q293" s="30">
        <v>90</v>
      </c>
      <c r="R293" s="256">
        <v>90</v>
      </c>
      <c r="S293" s="256">
        <v>1.27</v>
      </c>
      <c r="T293" s="30">
        <f>ROUND((L293*I293+1.3*L293*K293+S293*H293),4)</f>
        <v>9909.3060000000005</v>
      </c>
      <c r="U293" s="30">
        <f>ROUND((M293*I293+1.3*M293*K293+S293*H293),4)</f>
        <v>9909.3060000000005</v>
      </c>
      <c r="V293" s="30">
        <f>ROUND((M293*I293+1.3*M293*K293+S293*H293),4)</f>
        <v>9909.3060000000005</v>
      </c>
      <c r="W293" s="30">
        <f>ROUND((L293*J293+1.3*L293*N293+S293*G293),4)</f>
        <v>182.31</v>
      </c>
      <c r="X293" s="30">
        <f>ROUND((M293*J293+1.3*M293*N293+S293*G293),4)</f>
        <v>182.31</v>
      </c>
      <c r="Y293" s="30">
        <f>ROUND((M293*J293+1.3*M293*N293+S293*G293),4)</f>
        <v>182.31</v>
      </c>
      <c r="Z293" s="257">
        <f>ROUND((P293*T293*F293*O293/1000000),4)</f>
        <v>1.7837000000000001</v>
      </c>
      <c r="AA293" s="257">
        <f>ROUND((Q293*U293*F293*O293/1000000),4)</f>
        <v>0.89180000000000004</v>
      </c>
      <c r="AB293" s="257">
        <f>ROUND((R293*V293*F293*O293/1000000),4)</f>
        <v>0.89180000000000004</v>
      </c>
      <c r="AC293" s="258" t="s">
        <v>165</v>
      </c>
      <c r="AD293" s="259" t="s">
        <v>144</v>
      </c>
      <c r="AE293" s="34">
        <f>ROUND((((X293*E293)/1800)*0.8),4)</f>
        <v>8.1000000000000003E-2</v>
      </c>
      <c r="AF293" s="34">
        <f>ROUND(((Z293+AA293+AB293)*0.8),4)</f>
        <v>2.8538000000000001</v>
      </c>
      <c r="AG293" s="254"/>
      <c r="AH293" s="254"/>
    </row>
    <row r="294" spans="1:34" s="61" customFormat="1" ht="15" customHeight="1" x14ac:dyDescent="0.25">
      <c r="A294" s="260"/>
      <c r="B294" s="261" t="s">
        <v>587</v>
      </c>
      <c r="C294" s="32"/>
      <c r="D294" s="32"/>
      <c r="E294" s="32"/>
      <c r="F294" s="32"/>
      <c r="G294" s="32"/>
      <c r="H294" s="32"/>
      <c r="I294" s="32"/>
      <c r="J294" s="32"/>
      <c r="K294" s="32"/>
      <c r="L294" s="265"/>
      <c r="M294" s="265"/>
      <c r="N294" s="32"/>
      <c r="O294" s="32"/>
      <c r="P294" s="32"/>
      <c r="Q294" s="32"/>
      <c r="R294" s="32"/>
      <c r="S294" s="268"/>
      <c r="T294" s="32"/>
      <c r="U294" s="32"/>
      <c r="V294" s="32"/>
      <c r="W294" s="32"/>
      <c r="X294" s="32"/>
      <c r="Y294" s="32"/>
      <c r="Z294" s="32"/>
      <c r="AA294" s="32"/>
      <c r="AB294" s="32"/>
      <c r="AC294" s="258" t="s">
        <v>166</v>
      </c>
      <c r="AD294" s="259" t="s">
        <v>167</v>
      </c>
      <c r="AE294" s="34">
        <f>ROUND((((X293*E293)/1800)*0.13),4)</f>
        <v>1.32E-2</v>
      </c>
      <c r="AF294" s="34">
        <f>ROUND(((Z293+AA293+AB293)*0.13),4)</f>
        <v>0.4637</v>
      </c>
      <c r="AG294" s="254"/>
      <c r="AH294" s="254"/>
    </row>
    <row r="295" spans="1:34" s="61" customFormat="1" ht="15" customHeight="1" x14ac:dyDescent="0.25">
      <c r="A295" s="260"/>
      <c r="B295" s="273"/>
      <c r="C295" s="263"/>
      <c r="D295" s="263"/>
      <c r="E295" s="32"/>
      <c r="F295" s="32"/>
      <c r="G295" s="32"/>
      <c r="H295" s="32"/>
      <c r="I295" s="32"/>
      <c r="J295" s="32"/>
      <c r="K295" s="32"/>
      <c r="L295" s="34">
        <v>0.51</v>
      </c>
      <c r="M295" s="34">
        <v>0.63</v>
      </c>
      <c r="N295" s="32"/>
      <c r="O295" s="32"/>
      <c r="P295" s="32"/>
      <c r="Q295" s="32"/>
      <c r="R295" s="32"/>
      <c r="S295" s="270">
        <v>0.25</v>
      </c>
      <c r="T295" s="30">
        <f>ROUND((L295*I293+1.3*L295*K293+S295*H293),4)</f>
        <v>790.09799999999996</v>
      </c>
      <c r="U295" s="30">
        <f>ROUND((M295*0.9*I293+1.3*M295*0.9*K293+S295*H293),4)</f>
        <v>876.72659999999996</v>
      </c>
      <c r="V295" s="30">
        <f>ROUND((M295*I293+1.3*M295*K293+S295*H293),4)</f>
        <v>972.47400000000005</v>
      </c>
      <c r="W295" s="30">
        <f>ROUND((L295*J293+1.3*L295*N293+S295*G293),4)</f>
        <v>15.27</v>
      </c>
      <c r="X295" s="30">
        <f>ROUND((M295*0.9*J293+1.3*M295*0.9*N293+S295*G293),4)</f>
        <v>16.809000000000001</v>
      </c>
      <c r="Y295" s="30">
        <f>ROUND((M295*J293+1.3*M295*N293+S295*G293),4)</f>
        <v>18.510000000000002</v>
      </c>
      <c r="Z295" s="257">
        <f>ROUND((P293*T295*F293*O293/1000000),4)</f>
        <v>0.14219999999999999</v>
      </c>
      <c r="AA295" s="257">
        <f>ROUND((Q293*U295*F293*O293/1000000),4)</f>
        <v>7.8899999999999998E-2</v>
      </c>
      <c r="AB295" s="257">
        <f>ROUND((R293*V295*F293*O293/1000000),4)</f>
        <v>8.7499999999999994E-2</v>
      </c>
      <c r="AC295" s="258" t="s">
        <v>547</v>
      </c>
      <c r="AD295" s="259" t="s">
        <v>169</v>
      </c>
      <c r="AE295" s="34">
        <f>ROUND((((X295*E293)/1800)),4)</f>
        <v>9.2999999999999992E-3</v>
      </c>
      <c r="AF295" s="34">
        <f>ROUND(((Z295+AA295+AB295)),5)</f>
        <v>0.30859999999999999</v>
      </c>
      <c r="AG295" s="254"/>
      <c r="AH295" s="254"/>
    </row>
    <row r="296" spans="1:34" s="61" customFormat="1" ht="15" customHeight="1" x14ac:dyDescent="0.25">
      <c r="A296" s="260"/>
      <c r="B296" s="261"/>
      <c r="C296" s="32"/>
      <c r="D296" s="32"/>
      <c r="E296" s="32"/>
      <c r="F296" s="32"/>
      <c r="G296" s="32"/>
      <c r="H296" s="32"/>
      <c r="I296" s="32"/>
      <c r="J296" s="32"/>
      <c r="K296" s="32"/>
      <c r="L296" s="34">
        <v>1.1399999999999999</v>
      </c>
      <c r="M296" s="34">
        <v>1.37</v>
      </c>
      <c r="N296" s="32"/>
      <c r="O296" s="32"/>
      <c r="P296" s="32"/>
      <c r="Q296" s="32"/>
      <c r="R296" s="32"/>
      <c r="S296" s="271">
        <v>0.79</v>
      </c>
      <c r="T296" s="30">
        <f>ROUND((L296*I293+1.3*L296*K293+S296*H293),4)</f>
        <v>1779.972</v>
      </c>
      <c r="U296" s="30">
        <f>ROUND((M296*0.9*I293+1.3*M296*0.9*K293+S296*H293),4)</f>
        <v>1921.3134</v>
      </c>
      <c r="V296" s="30">
        <f>ROUND((M296*I293+1.3*M296*K293+S296*H293),4)</f>
        <v>2129.5259999999998</v>
      </c>
      <c r="W296" s="30">
        <f>ROUND((L296*J293+1.3*L296*N293+S296*G293),4)</f>
        <v>35.520000000000003</v>
      </c>
      <c r="X296" s="30">
        <f>ROUND((M296*0.9*J293+1.3*M296*0.9*N293+S296*G293),4)</f>
        <v>38.030999999999999</v>
      </c>
      <c r="Y296" s="30">
        <f>ROUND((M296*J293+1.3*N293+S296*G293),4)</f>
        <v>36.92</v>
      </c>
      <c r="Z296" s="257">
        <f>ROUND((P293*T296*F293*O293/1000000),4)</f>
        <v>0.32040000000000002</v>
      </c>
      <c r="AA296" s="257">
        <f>ROUND((Q293*U296*F293*O293/1000000),4)</f>
        <v>0.1729</v>
      </c>
      <c r="AB296" s="257">
        <f>ROUND((R293*V296*F293*O293/1000000),4)</f>
        <v>0.19170000000000001</v>
      </c>
      <c r="AC296" s="258" t="s">
        <v>548</v>
      </c>
      <c r="AD296" s="259" t="s">
        <v>549</v>
      </c>
      <c r="AE296" s="34">
        <f>ROUND((((X296*E293)/1800)),4)</f>
        <v>2.1100000000000001E-2</v>
      </c>
      <c r="AF296" s="34">
        <f>ROUND(((Z296+AA296+AB296)),4)</f>
        <v>0.68500000000000005</v>
      </c>
      <c r="AG296" s="254"/>
      <c r="AH296" s="254"/>
    </row>
    <row r="297" spans="1:34" s="61" customFormat="1" ht="15" customHeight="1" x14ac:dyDescent="0.25">
      <c r="A297" s="260"/>
      <c r="B297" s="261"/>
      <c r="C297" s="32"/>
      <c r="D297" s="32"/>
      <c r="E297" s="32"/>
      <c r="F297" s="32"/>
      <c r="G297" s="32"/>
      <c r="H297" s="32"/>
      <c r="I297" s="32"/>
      <c r="J297" s="32"/>
      <c r="K297" s="32"/>
      <c r="L297" s="34">
        <v>0.72</v>
      </c>
      <c r="M297" s="34">
        <v>1.08</v>
      </c>
      <c r="N297" s="32"/>
      <c r="O297" s="32"/>
      <c r="P297" s="32"/>
      <c r="Q297" s="32"/>
      <c r="R297" s="32"/>
      <c r="S297" s="271">
        <v>0.17</v>
      </c>
      <c r="T297" s="30">
        <f>ROUND((L297*I293+1.3*L297*K293+S297*H293),4)</f>
        <v>1104.4559999999999</v>
      </c>
      <c r="U297" s="30">
        <f>ROUND((M297*0.9*I293+1.3*M297*0.9*K293+S297*H293),4)</f>
        <v>1487.4456</v>
      </c>
      <c r="V297" s="30">
        <f>ROUND((M297*I293+1.3*M297*K293+S297*H293),4)</f>
        <v>1651.5840000000001</v>
      </c>
      <c r="W297" s="30">
        <f>ROUND((L297*J293+1.3*L297*N293+S297*G293),4)</f>
        <v>20.46</v>
      </c>
      <c r="X297" s="30">
        <f>ROUND((M297*0.9*J293+1.3*M297*0.9*N293+S297*G293),4)</f>
        <v>27.263999999999999</v>
      </c>
      <c r="Y297" s="30">
        <f>ROUND((M297*J293+1.3*M297*N293+S297*G293),4)</f>
        <v>30.18</v>
      </c>
      <c r="Z297" s="257">
        <f>ROUND((P293*T297*F293*O293/1000000),4)</f>
        <v>0.1988</v>
      </c>
      <c r="AA297" s="257">
        <f>ROUND((Q293*U297*F293*O293/1000000),4)</f>
        <v>0.13389999999999999</v>
      </c>
      <c r="AB297" s="257">
        <f>ROUND((R293*V297*F293*O293/1000000),4)</f>
        <v>0.14860000000000001</v>
      </c>
      <c r="AC297" s="258" t="s">
        <v>172</v>
      </c>
      <c r="AD297" s="259" t="s">
        <v>173</v>
      </c>
      <c r="AE297" s="34">
        <f>ROUND((((X297*E293)/1800)),4)</f>
        <v>1.5100000000000001E-2</v>
      </c>
      <c r="AF297" s="34">
        <f>ROUND(((Z297+AA297+AB297)),4)</f>
        <v>0.48130000000000001</v>
      </c>
      <c r="AG297" s="254"/>
      <c r="AH297" s="254"/>
    </row>
    <row r="298" spans="1:34" s="61" customFormat="1" ht="15" customHeight="1" x14ac:dyDescent="0.25">
      <c r="A298" s="260"/>
      <c r="B298" s="272"/>
      <c r="C298" s="265"/>
      <c r="D298" s="265"/>
      <c r="E298" s="265"/>
      <c r="F298" s="265"/>
      <c r="G298" s="265"/>
      <c r="H298" s="265"/>
      <c r="I298" s="265"/>
      <c r="J298" s="265"/>
      <c r="K298" s="265"/>
      <c r="L298" s="34">
        <v>3.37</v>
      </c>
      <c r="M298" s="34">
        <v>4.1100000000000003</v>
      </c>
      <c r="N298" s="265"/>
      <c r="O298" s="265"/>
      <c r="P298" s="265"/>
      <c r="Q298" s="265"/>
      <c r="R298" s="265"/>
      <c r="S298" s="271">
        <v>6.31</v>
      </c>
      <c r="T298" s="30">
        <f>ROUND((L298*I293+1.3*L298*K293+S298*H293),4)</f>
        <v>5500.326</v>
      </c>
      <c r="U298" s="30">
        <f>ROUND((M298*0.9*I293+1.3*M298*0.9*K293+S298*H293),4)</f>
        <v>6000.3401999999996</v>
      </c>
      <c r="V298" s="30">
        <f>ROUND((M298*I293+1.3*M298*K293+S298*H293),4)</f>
        <v>6624.9780000000001</v>
      </c>
      <c r="W298" s="30">
        <f>ROUND((L298*J293+1.3*L298*N293+S298*G293),4)</f>
        <v>128.85</v>
      </c>
      <c r="X298" s="30">
        <f>ROUND((M298*0.9*J293+1.3*M298*0.9*N293+S298*G293),4)</f>
        <v>137.733</v>
      </c>
      <c r="Y298" s="30">
        <f>ROUND((M298*J293+1.3*M298*N293+S298*G293),4)</f>
        <v>148.83000000000001</v>
      </c>
      <c r="Z298" s="257">
        <f>ROUND((P293*T298*F293*O293/1000000),4)</f>
        <v>0.99009999999999998</v>
      </c>
      <c r="AA298" s="257">
        <f>ROUND((Q293*U298*F293*O293/1000000),4)</f>
        <v>0.54</v>
      </c>
      <c r="AB298" s="257">
        <f>ROUND((R293*V298*F293*O293/1000000),4)</f>
        <v>0.59619999999999995</v>
      </c>
      <c r="AC298" s="258" t="s">
        <v>157</v>
      </c>
      <c r="AD298" s="259" t="s">
        <v>153</v>
      </c>
      <c r="AE298" s="34">
        <f>ROUND((((X298*E293)/1800)),4)</f>
        <v>7.6499999999999999E-2</v>
      </c>
      <c r="AF298" s="34">
        <f>ROUND(((Z298+AA298+AB298)),4)</f>
        <v>2.1263000000000001</v>
      </c>
      <c r="AG298" s="254"/>
      <c r="AH298" s="254"/>
    </row>
    <row r="299" spans="1:34" s="61" customFormat="1" ht="15" customHeight="1" x14ac:dyDescent="0.25">
      <c r="A299" s="260"/>
      <c r="B299" s="255" t="s">
        <v>586</v>
      </c>
      <c r="C299" s="30">
        <v>4</v>
      </c>
      <c r="D299" s="30" t="s">
        <v>545</v>
      </c>
      <c r="E299" s="30">
        <v>1</v>
      </c>
      <c r="F299" s="30">
        <v>6</v>
      </c>
      <c r="G299" s="30">
        <v>6</v>
      </c>
      <c r="H299" s="30">
        <v>60</v>
      </c>
      <c r="I299" s="30">
        <f>(8-1-0.75*2)*60*F299-K299-8*0.12*60</f>
        <v>635.4</v>
      </c>
      <c r="J299" s="30">
        <v>14</v>
      </c>
      <c r="K299" s="30">
        <f>(8-1-0.75*2)*0.65*60*F299</f>
        <v>1287</v>
      </c>
      <c r="L299" s="30">
        <v>2.4700000000000002</v>
      </c>
      <c r="M299" s="30">
        <v>2.4700000000000002</v>
      </c>
      <c r="N299" s="30">
        <v>10</v>
      </c>
      <c r="O299" s="30">
        <f>E299/F299</f>
        <v>0.16666666666666666</v>
      </c>
      <c r="P299" s="30">
        <v>180</v>
      </c>
      <c r="Q299" s="30">
        <v>90</v>
      </c>
      <c r="R299" s="256">
        <v>90</v>
      </c>
      <c r="S299" s="30">
        <v>0.48</v>
      </c>
      <c r="T299" s="30">
        <f>ROUND((L299*I299+1.3*L299*K299+S299*H299),4)</f>
        <v>5730.7950000000001</v>
      </c>
      <c r="U299" s="30">
        <f>ROUND((M299*I299+1.3*M299*K299+S299*H299),4)</f>
        <v>5730.7950000000001</v>
      </c>
      <c r="V299" s="30">
        <f>ROUND((M299*I299+1.3*M299*K299+S299*H299),4)</f>
        <v>5730.7950000000001</v>
      </c>
      <c r="W299" s="30">
        <f>ROUND((L299*J299+1.3*L299*N299+S299*G299),4)</f>
        <v>69.569999999999993</v>
      </c>
      <c r="X299" s="30">
        <f>ROUND((M299*J299+1.3*M299*N299+S299*G299),4)</f>
        <v>69.569999999999993</v>
      </c>
      <c r="Y299" s="30">
        <f>ROUND((M299*J299+1.3*M299*N299+S299*G299),4)</f>
        <v>69.569999999999993</v>
      </c>
      <c r="Z299" s="257">
        <f>ROUND((P299*T299*F299*O299/1000000),4)</f>
        <v>1.0315000000000001</v>
      </c>
      <c r="AA299" s="257">
        <f>ROUND((Q299*U299*F299*O299/1000000),4)</f>
        <v>0.51580000000000004</v>
      </c>
      <c r="AB299" s="257">
        <f>ROUND((R299*V299*F299*O299/1000000),4)</f>
        <v>0.51580000000000004</v>
      </c>
      <c r="AC299" s="258" t="s">
        <v>165</v>
      </c>
      <c r="AD299" s="259" t="s">
        <v>144</v>
      </c>
      <c r="AE299" s="34">
        <f>ROUND((((X299*E299)/1800)*0.8),4)</f>
        <v>3.09E-2</v>
      </c>
      <c r="AF299" s="34">
        <f>ROUND(((Z299+AA299+AB299)*0.8),4)</f>
        <v>1.6505000000000001</v>
      </c>
      <c r="AG299" s="254"/>
      <c r="AH299" s="254"/>
    </row>
    <row r="300" spans="1:34" s="61" customFormat="1" ht="15" customHeight="1" x14ac:dyDescent="0.25">
      <c r="A300" s="260"/>
      <c r="B300" s="261" t="s">
        <v>588</v>
      </c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262"/>
      <c r="T300" s="32"/>
      <c r="U300" s="32"/>
      <c r="V300" s="32"/>
      <c r="W300" s="32"/>
      <c r="X300" s="32"/>
      <c r="Y300" s="32"/>
      <c r="Z300" s="32"/>
      <c r="AA300" s="32"/>
      <c r="AB300" s="32"/>
      <c r="AC300" s="258" t="s">
        <v>166</v>
      </c>
      <c r="AD300" s="259" t="s">
        <v>167</v>
      </c>
      <c r="AE300" s="34">
        <f>ROUND((((X299*E299)/1800)*0.13),4)</f>
        <v>5.0000000000000001E-3</v>
      </c>
      <c r="AF300" s="34">
        <f>ROUND(((Z299+AA299+AB299)*0.13),4)</f>
        <v>0.26819999999999999</v>
      </c>
      <c r="AG300" s="254"/>
      <c r="AH300" s="254"/>
    </row>
    <row r="301" spans="1:34" s="61" customFormat="1" ht="15" customHeight="1" x14ac:dyDescent="0.25">
      <c r="A301" s="260"/>
      <c r="B301" s="261"/>
      <c r="C301" s="263"/>
      <c r="D301" s="263"/>
      <c r="E301" s="32"/>
      <c r="F301" s="32"/>
      <c r="G301" s="32"/>
      <c r="H301" s="32"/>
      <c r="I301" s="32"/>
      <c r="J301" s="32"/>
      <c r="K301" s="32"/>
      <c r="L301" s="32">
        <v>0.19</v>
      </c>
      <c r="M301" s="32">
        <v>0.23</v>
      </c>
      <c r="N301" s="32"/>
      <c r="O301" s="32"/>
      <c r="P301" s="32"/>
      <c r="Q301" s="32"/>
      <c r="R301" s="32"/>
      <c r="S301" s="33">
        <v>9.7000000000000003E-2</v>
      </c>
      <c r="T301" s="30">
        <f>ROUND((L301*I299+1.3*L301*K299+S301*H299),4)</f>
        <v>444.435</v>
      </c>
      <c r="U301" s="30">
        <f>ROUND((M301*0.9*I299+1.3*M301*0.9*K299+S301*H299),4)</f>
        <v>483.67950000000002</v>
      </c>
      <c r="V301" s="30">
        <f>ROUND((M301*I299+1.3*M301*K299+S301*H299),4)</f>
        <v>536.77499999999998</v>
      </c>
      <c r="W301" s="30">
        <f>ROUND((L301*J299+1.3*L301*N299+S301*G299),4)</f>
        <v>5.7119999999999997</v>
      </c>
      <c r="X301" s="30">
        <f>ROUND((M301*0.9*J299+1.3*M301*0.9*N299+S301*G299),4)</f>
        <v>6.1710000000000003</v>
      </c>
      <c r="Y301" s="30">
        <f>ROUND((M301*J299+1.3*M301*N299+S301*G299),4)</f>
        <v>6.7919999999999998</v>
      </c>
      <c r="Z301" s="257">
        <f>ROUND((P299*T301*F299*O299/1000000),4)</f>
        <v>0.08</v>
      </c>
      <c r="AA301" s="257">
        <f>ROUND((Q299*U301*F299*O299/1000000),4)</f>
        <v>4.3499999999999997E-2</v>
      </c>
      <c r="AB301" s="257">
        <f>ROUND((R299*V301*F299*O299/1000000),4)</f>
        <v>4.8300000000000003E-2</v>
      </c>
      <c r="AC301" s="258" t="s">
        <v>547</v>
      </c>
      <c r="AD301" s="259" t="s">
        <v>169</v>
      </c>
      <c r="AE301" s="34">
        <f>ROUND((((X301*E299)/1800)),4)</f>
        <v>3.3999999999999998E-3</v>
      </c>
      <c r="AF301" s="34">
        <f>ROUND(((Z301+AA301+AB301)),5)</f>
        <v>0.17180000000000001</v>
      </c>
      <c r="AG301" s="254"/>
      <c r="AH301" s="254"/>
    </row>
    <row r="302" spans="1:34" s="61" customFormat="1" ht="15" customHeight="1" x14ac:dyDescent="0.25">
      <c r="A302" s="260"/>
      <c r="B302" s="264"/>
      <c r="C302" s="32"/>
      <c r="D302" s="32"/>
      <c r="E302" s="32"/>
      <c r="F302" s="32"/>
      <c r="G302" s="32"/>
      <c r="H302" s="32"/>
      <c r="I302" s="32"/>
      <c r="J302" s="32"/>
      <c r="K302" s="32"/>
      <c r="L302" s="32">
        <v>0.43</v>
      </c>
      <c r="M302" s="32">
        <v>0.51</v>
      </c>
      <c r="N302" s="32"/>
      <c r="O302" s="32"/>
      <c r="P302" s="32"/>
      <c r="Q302" s="32"/>
      <c r="R302" s="32"/>
      <c r="S302" s="33">
        <v>0.3</v>
      </c>
      <c r="T302" s="30">
        <f>ROUND((L302*I299+1.3*L302*K299+S302*H299),4)</f>
        <v>1010.655</v>
      </c>
      <c r="U302" s="30">
        <f>ROUND((M302*0.9*I299+1.3*M302*0.9*K299+S302*H299),4)</f>
        <v>1077.6015</v>
      </c>
      <c r="V302" s="30">
        <f>ROUND((M302*I299+1.3*M302*K299+S302*H299),4)</f>
        <v>1195.335</v>
      </c>
      <c r="W302" s="30">
        <f>ROUND((L302*J299+1.3*L302*N299+S302*G299),4)</f>
        <v>13.41</v>
      </c>
      <c r="X302" s="30">
        <f>ROUND((M302*0.9*J299+1.3*M302*0.9*N299+S302*G299),4)</f>
        <v>14.193</v>
      </c>
      <c r="Y302" s="30">
        <f>ROUND((M302*J299+1.3*N299+S302*G299),4)</f>
        <v>21.94</v>
      </c>
      <c r="Z302" s="257">
        <f>ROUND((P299*T302*F299*O299/1000000),4)</f>
        <v>0.18190000000000001</v>
      </c>
      <c r="AA302" s="257">
        <f>ROUND((Q299*U302*F299*O299/1000000),4)</f>
        <v>9.7000000000000003E-2</v>
      </c>
      <c r="AB302" s="257">
        <f>ROUND((R299*V302*F299*O299/1000000),4)</f>
        <v>0.1076</v>
      </c>
      <c r="AC302" s="258" t="s">
        <v>548</v>
      </c>
      <c r="AD302" s="259" t="s">
        <v>549</v>
      </c>
      <c r="AE302" s="34">
        <f>ROUND((((X302*E299)/1800)),4)</f>
        <v>7.9000000000000008E-3</v>
      </c>
      <c r="AF302" s="34">
        <f>ROUND(((Z302+AA302+AB302)),4)</f>
        <v>0.38650000000000001</v>
      </c>
      <c r="AG302" s="254"/>
      <c r="AH302" s="254"/>
    </row>
    <row r="303" spans="1:34" s="61" customFormat="1" ht="15" customHeight="1" x14ac:dyDescent="0.25">
      <c r="A303" s="260"/>
      <c r="B303" s="261"/>
      <c r="C303" s="32"/>
      <c r="D303" s="32"/>
      <c r="E303" s="32"/>
      <c r="F303" s="32"/>
      <c r="G303" s="32"/>
      <c r="H303" s="32"/>
      <c r="I303" s="32"/>
      <c r="J303" s="32"/>
      <c r="K303" s="32"/>
      <c r="L303" s="32">
        <v>0.27</v>
      </c>
      <c r="M303" s="32">
        <v>0.41</v>
      </c>
      <c r="N303" s="32"/>
      <c r="O303" s="32"/>
      <c r="P303" s="32"/>
      <c r="Q303" s="32"/>
      <c r="R303" s="32"/>
      <c r="S303" s="33">
        <v>0.06</v>
      </c>
      <c r="T303" s="30">
        <f>ROUND((L303*I299+1.3*L303*K299+S303*H299),4)</f>
        <v>626.89499999999998</v>
      </c>
      <c r="U303" s="30">
        <f>ROUND((M303*0.9*I299+1.3*M303*0.9*K299+S303*H299),4)</f>
        <v>855.43650000000002</v>
      </c>
      <c r="V303" s="30">
        <f>ROUND((M303*I299+1.3*M303*K299+S303*H299),4)</f>
        <v>950.08500000000004</v>
      </c>
      <c r="W303" s="30">
        <f>ROUND((L303*J299+1.3*L303*N299+S303*G299),4)</f>
        <v>7.65</v>
      </c>
      <c r="X303" s="30">
        <f>ROUND((M303*0.9*J299+1.3*M303*0.9*N299+S303*G299),4)</f>
        <v>10.323</v>
      </c>
      <c r="Y303" s="30">
        <f>ROUND((M303*J299+1.3*M303*N299+S303*G299),4)</f>
        <v>11.43</v>
      </c>
      <c r="Z303" s="257">
        <f>ROUND((P299*T303*F299*O299/1000000),4)</f>
        <v>0.1128</v>
      </c>
      <c r="AA303" s="257">
        <f>ROUND((Q299*U303*F299*O299/1000000),4)</f>
        <v>7.6999999999999999E-2</v>
      </c>
      <c r="AB303" s="257">
        <f>ROUND((R299*V303*F299*O299/1000000),4)</f>
        <v>8.5500000000000007E-2</v>
      </c>
      <c r="AC303" s="258" t="s">
        <v>172</v>
      </c>
      <c r="AD303" s="259" t="s">
        <v>173</v>
      </c>
      <c r="AE303" s="34">
        <f>ROUND((((X303*E299)/1800)),4)</f>
        <v>5.7000000000000002E-3</v>
      </c>
      <c r="AF303" s="34">
        <f>ROUND(((Z303+AA303+AB303)),4)</f>
        <v>0.27529999999999999</v>
      </c>
      <c r="AG303" s="254"/>
      <c r="AH303" s="254"/>
    </row>
    <row r="304" spans="1:34" s="61" customFormat="1" ht="15" customHeight="1" x14ac:dyDescent="0.25">
      <c r="A304" s="260"/>
      <c r="B304" s="261"/>
      <c r="C304" s="265"/>
      <c r="D304" s="265"/>
      <c r="E304" s="265"/>
      <c r="F304" s="265"/>
      <c r="G304" s="265"/>
      <c r="H304" s="265"/>
      <c r="I304" s="265"/>
      <c r="J304" s="265"/>
      <c r="K304" s="265"/>
      <c r="L304" s="265">
        <v>1.29</v>
      </c>
      <c r="M304" s="265">
        <v>1.57</v>
      </c>
      <c r="N304" s="265"/>
      <c r="O304" s="265"/>
      <c r="P304" s="265"/>
      <c r="Q304" s="265"/>
      <c r="R304" s="265"/>
      <c r="S304" s="33">
        <v>2.4</v>
      </c>
      <c r="T304" s="33">
        <f>ROUND((L304*I299+1.3*L304*K299+S304*H299),4)</f>
        <v>3121.9650000000001</v>
      </c>
      <c r="U304" s="33">
        <f>ROUND((M304*0.9*I299+1.3*M304*0.9*K299+S304*H299),4)</f>
        <v>3405.9105</v>
      </c>
      <c r="V304" s="33">
        <f>ROUND((M304*I299+1.3*M304*K299+S304*H299),4)</f>
        <v>3768.3449999999998</v>
      </c>
      <c r="W304" s="33">
        <f>ROUND((L304*J299+1.3*L304*N299+S304*G299),4)</f>
        <v>49.23</v>
      </c>
      <c r="X304" s="33">
        <f>ROUND((M304*0.9*J299+1.3*M304*0.9*N299+S304*G299),4)</f>
        <v>52.551000000000002</v>
      </c>
      <c r="Y304" s="33">
        <f>ROUND((M304*J299+1.3*M304*N299+S304*G299),4)</f>
        <v>56.79</v>
      </c>
      <c r="Z304" s="266">
        <f>ROUND((P299*T304*F299*O299/1000000),4)</f>
        <v>0.56200000000000006</v>
      </c>
      <c r="AA304" s="266">
        <f>ROUND((Q299*U304*F299*O299/1000000),4)</f>
        <v>0.30649999999999999</v>
      </c>
      <c r="AB304" s="266">
        <f>ROUND((R299*V304*F299*O299/1000000),4)</f>
        <v>0.3392</v>
      </c>
      <c r="AC304" s="258" t="s">
        <v>157</v>
      </c>
      <c r="AD304" s="259" t="s">
        <v>153</v>
      </c>
      <c r="AE304" s="34">
        <f>ROUND((((X304*E299)/1800)),4)</f>
        <v>2.92E-2</v>
      </c>
      <c r="AF304" s="34">
        <f>ROUND(((Z304+AA304+AB304)),4)</f>
        <v>1.2077</v>
      </c>
      <c r="AG304" s="254"/>
      <c r="AH304" s="254"/>
    </row>
    <row r="305" spans="1:34" s="61" customFormat="1" ht="15" customHeight="1" x14ac:dyDescent="0.25">
      <c r="A305" s="289"/>
      <c r="B305" s="1643" t="s">
        <v>568</v>
      </c>
      <c r="C305" s="255">
        <v>6</v>
      </c>
      <c r="D305" s="30" t="s">
        <v>556</v>
      </c>
      <c r="E305" s="30">
        <v>1</v>
      </c>
      <c r="F305" s="30">
        <v>15</v>
      </c>
      <c r="G305" s="30">
        <v>6</v>
      </c>
      <c r="H305" s="30">
        <v>60</v>
      </c>
      <c r="I305" s="30">
        <f>(8-1-0.75*2)*60*F305-K305-8*0.12*60</f>
        <v>1674.9</v>
      </c>
      <c r="J305" s="30">
        <v>14</v>
      </c>
      <c r="K305" s="30">
        <f>(8-1-0.75*2)*0.65*60*F305</f>
        <v>3217.5</v>
      </c>
      <c r="L305" s="30">
        <v>6.47</v>
      </c>
      <c r="M305" s="30">
        <v>6.47</v>
      </c>
      <c r="N305" s="30">
        <v>10</v>
      </c>
      <c r="O305" s="30">
        <f>E305/F305</f>
        <v>6.6666666666666666E-2</v>
      </c>
      <c r="P305" s="30">
        <v>180</v>
      </c>
      <c r="Q305" s="30">
        <v>90</v>
      </c>
      <c r="R305" s="256">
        <v>90</v>
      </c>
      <c r="S305" s="256">
        <v>1.27</v>
      </c>
      <c r="T305" s="30">
        <f>ROUND((L305*I305+1.3*L305*K305+S305*H305),4)</f>
        <v>37975.195500000002</v>
      </c>
      <c r="U305" s="30">
        <f>ROUND((M305*I305+1.3*M305*K305+S305*H305),4)</f>
        <v>37975.195500000002</v>
      </c>
      <c r="V305" s="30">
        <f>ROUND((M305*I305+1.3*M305*K305+S305*H305),4)</f>
        <v>37975.195500000002</v>
      </c>
      <c r="W305" s="30">
        <f>ROUND((L305*J305+1.3*L305*N305+S305*G305),4)</f>
        <v>182.31</v>
      </c>
      <c r="X305" s="30">
        <f>ROUND((M305*J305+1.3*M305*N305+S305*G305),4)</f>
        <v>182.31</v>
      </c>
      <c r="Y305" s="30">
        <f>ROUND((M305*J305+1.3*M305*N305+S305*G305),4)</f>
        <v>182.31</v>
      </c>
      <c r="Z305" s="257">
        <f>ROUND((P305*T305*F305*O305/1000000),4)</f>
        <v>6.8354999999999997</v>
      </c>
      <c r="AA305" s="257">
        <f>ROUND((Q305*U305*F305*O305/1000000),4)</f>
        <v>3.4178000000000002</v>
      </c>
      <c r="AB305" s="257">
        <f>ROUND((R305*V305*F305*O305/1000000),4)</f>
        <v>3.4178000000000002</v>
      </c>
      <c r="AC305" s="258" t="s">
        <v>165</v>
      </c>
      <c r="AD305" s="259" t="s">
        <v>144</v>
      </c>
      <c r="AE305" s="34">
        <f>ROUND((((X305*E305)/1800)*0.8),4)</f>
        <v>8.1000000000000003E-2</v>
      </c>
      <c r="AF305" s="34">
        <f>ROUND(((Z305+AA305+AB305)*0.8),4)</f>
        <v>10.9369</v>
      </c>
      <c r="AG305" s="254"/>
      <c r="AH305" s="254"/>
    </row>
    <row r="306" spans="1:34" s="61" customFormat="1" ht="15" customHeight="1" x14ac:dyDescent="0.25">
      <c r="A306" s="289"/>
      <c r="B306" s="1640"/>
      <c r="C306" s="32"/>
      <c r="D306" s="32"/>
      <c r="E306" s="32"/>
      <c r="F306" s="32"/>
      <c r="G306" s="32"/>
      <c r="H306" s="32"/>
      <c r="I306" s="32"/>
      <c r="J306" s="32"/>
      <c r="K306" s="32"/>
      <c r="L306" s="265"/>
      <c r="M306" s="265"/>
      <c r="N306" s="32"/>
      <c r="O306" s="32"/>
      <c r="P306" s="32"/>
      <c r="Q306" s="32"/>
      <c r="R306" s="32"/>
      <c r="S306" s="268"/>
      <c r="T306" s="32"/>
      <c r="U306" s="32"/>
      <c r="V306" s="32"/>
      <c r="W306" s="32"/>
      <c r="X306" s="32"/>
      <c r="Y306" s="32"/>
      <c r="Z306" s="32"/>
      <c r="AA306" s="32"/>
      <c r="AB306" s="32"/>
      <c r="AC306" s="258" t="s">
        <v>166</v>
      </c>
      <c r="AD306" s="259" t="s">
        <v>167</v>
      </c>
      <c r="AE306" s="34">
        <f>ROUND((((X305*E305)/1800)*0.13),4)</f>
        <v>1.32E-2</v>
      </c>
      <c r="AF306" s="34">
        <f>ROUND(((Z305+AA305+AB305)*0.13),4)</f>
        <v>1.7771999999999999</v>
      </c>
      <c r="AG306" s="254"/>
      <c r="AH306" s="254"/>
    </row>
    <row r="307" spans="1:34" s="61" customFormat="1" ht="15" customHeight="1" x14ac:dyDescent="0.25">
      <c r="A307" s="289"/>
      <c r="B307" s="261" t="s">
        <v>569</v>
      </c>
      <c r="C307" s="263"/>
      <c r="D307" s="263"/>
      <c r="E307" s="32"/>
      <c r="F307" s="32"/>
      <c r="G307" s="32"/>
      <c r="H307" s="32"/>
      <c r="I307" s="32"/>
      <c r="J307" s="32"/>
      <c r="K307" s="32"/>
      <c r="L307" s="34">
        <v>0.51</v>
      </c>
      <c r="M307" s="34">
        <v>0.63</v>
      </c>
      <c r="N307" s="32"/>
      <c r="O307" s="32"/>
      <c r="P307" s="32"/>
      <c r="Q307" s="32"/>
      <c r="R307" s="32"/>
      <c r="S307" s="270">
        <v>0.25</v>
      </c>
      <c r="T307" s="30">
        <f>ROUND((L307*I305+1.3*L307*K305+S307*H305),4)</f>
        <v>3002.4014999999999</v>
      </c>
      <c r="U307" s="30">
        <f>ROUND((M307*0.9*I305+1.3*M307*0.9*K305+S307*H305),4)</f>
        <v>3336.2876000000001</v>
      </c>
      <c r="V307" s="30">
        <f>ROUND((M307*I305+1.3*M307*K305+S307*H305),4)</f>
        <v>3705.3195000000001</v>
      </c>
      <c r="W307" s="30">
        <f>ROUND((L307*J305+1.3*L307*N305+S307*G305),4)</f>
        <v>15.27</v>
      </c>
      <c r="X307" s="30">
        <f>ROUND((M307*0.9*J305+1.3*M307*0.9*N305+S307*G305),4)</f>
        <v>16.809000000000001</v>
      </c>
      <c r="Y307" s="30">
        <f>ROUND((M307*J305+1.3*M307*N305+S307*G305),4)</f>
        <v>18.510000000000002</v>
      </c>
      <c r="Z307" s="257">
        <f>ROUND((P305*T307*F305*O305/1000000),4)</f>
        <v>0.54039999999999999</v>
      </c>
      <c r="AA307" s="257">
        <f>ROUND((Q305*U307*F305*O305/1000000),4)</f>
        <v>0.30030000000000001</v>
      </c>
      <c r="AB307" s="257">
        <f>ROUND((R305*V307*F305*O305/1000000),4)</f>
        <v>0.33350000000000002</v>
      </c>
      <c r="AC307" s="258" t="s">
        <v>547</v>
      </c>
      <c r="AD307" s="259" t="s">
        <v>169</v>
      </c>
      <c r="AE307" s="34">
        <f>ROUND((((X307*E305)/1800)),4)</f>
        <v>9.2999999999999992E-3</v>
      </c>
      <c r="AF307" s="34">
        <f>ROUND(((Z307+AA307+AB307)),5)</f>
        <v>1.1741999999999999</v>
      </c>
      <c r="AG307" s="254"/>
      <c r="AH307" s="254"/>
    </row>
    <row r="308" spans="1:34" s="61" customFormat="1" ht="15" customHeight="1" x14ac:dyDescent="0.25">
      <c r="A308" s="289"/>
      <c r="B308" s="261"/>
      <c r="C308" s="32"/>
      <c r="D308" s="32"/>
      <c r="E308" s="32"/>
      <c r="F308" s="32"/>
      <c r="G308" s="32"/>
      <c r="H308" s="32"/>
      <c r="I308" s="32"/>
      <c r="J308" s="32"/>
      <c r="K308" s="32"/>
      <c r="L308" s="34">
        <v>1.1399999999999999</v>
      </c>
      <c r="M308" s="34">
        <v>1.37</v>
      </c>
      <c r="N308" s="32"/>
      <c r="O308" s="32"/>
      <c r="P308" s="32"/>
      <c r="Q308" s="32"/>
      <c r="R308" s="32"/>
      <c r="S308" s="271">
        <v>0.79</v>
      </c>
      <c r="T308" s="30">
        <f>ROUND((L308*I305+1.3*L308*K305+S308*H305),4)</f>
        <v>6725.1210000000001</v>
      </c>
      <c r="U308" s="30">
        <f>ROUND((M308*0.9*I305+1.3*M308*0.9*K305+S308*H305),4)</f>
        <v>7269.8824999999997</v>
      </c>
      <c r="V308" s="30">
        <f>ROUND((M308*I305+1.3*M308*K305+S308*H305),4)</f>
        <v>8072.3805000000002</v>
      </c>
      <c r="W308" s="30">
        <f>ROUND((L308*J305+1.3*L308*N305+S308*G305),4)</f>
        <v>35.520000000000003</v>
      </c>
      <c r="X308" s="30">
        <f>ROUND((M308*0.9*J305+1.3*M308*0.9*N305+S308*G305),4)</f>
        <v>38.030999999999999</v>
      </c>
      <c r="Y308" s="30">
        <f>ROUND((M308*J305+1.3*N305+S308*G305),4)</f>
        <v>36.92</v>
      </c>
      <c r="Z308" s="257">
        <f>ROUND((P305*T308*F305*O305/1000000),4)</f>
        <v>1.2104999999999999</v>
      </c>
      <c r="AA308" s="257">
        <f>ROUND((Q305*U308*F305*O305/1000000),4)</f>
        <v>0.65429999999999999</v>
      </c>
      <c r="AB308" s="257">
        <f>ROUND((R305*V308*F305*O305/1000000),4)</f>
        <v>0.72650000000000003</v>
      </c>
      <c r="AC308" s="258" t="s">
        <v>548</v>
      </c>
      <c r="AD308" s="259" t="s">
        <v>549</v>
      </c>
      <c r="AE308" s="34">
        <f>ROUND((((X308*E305)/1800)),4)</f>
        <v>2.1100000000000001E-2</v>
      </c>
      <c r="AF308" s="34">
        <f>ROUND(((Z308+AA308+AB308)),4)</f>
        <v>2.5912999999999999</v>
      </c>
      <c r="AG308" s="254"/>
      <c r="AH308" s="254"/>
    </row>
    <row r="309" spans="1:34" s="61" customFormat="1" ht="15" customHeight="1" x14ac:dyDescent="0.25">
      <c r="A309" s="289"/>
      <c r="B309" s="261"/>
      <c r="C309" s="32"/>
      <c r="D309" s="32"/>
      <c r="E309" s="32"/>
      <c r="F309" s="32"/>
      <c r="G309" s="32"/>
      <c r="H309" s="32"/>
      <c r="I309" s="32"/>
      <c r="J309" s="32"/>
      <c r="K309" s="32"/>
      <c r="L309" s="34">
        <v>0.72</v>
      </c>
      <c r="M309" s="34">
        <v>1.08</v>
      </c>
      <c r="N309" s="32"/>
      <c r="O309" s="32"/>
      <c r="P309" s="32"/>
      <c r="Q309" s="32"/>
      <c r="R309" s="32"/>
      <c r="S309" s="271">
        <v>0.17</v>
      </c>
      <c r="T309" s="30">
        <f>ROUND((L309*I305+1.3*L309*K305+S309*H305),4)</f>
        <v>4227.7079999999996</v>
      </c>
      <c r="U309" s="30">
        <f>ROUND((M309*0.9*I305+1.3*M309*0.9*K305+S309*H305),4)</f>
        <v>5703.8357999999998</v>
      </c>
      <c r="V309" s="30">
        <f>ROUND((M309*I305+1.3*M309*K305+S309*H305),4)</f>
        <v>6336.4620000000004</v>
      </c>
      <c r="W309" s="30">
        <f>ROUND((L309*J305+1.3*L309*N305+S309*G305),4)</f>
        <v>20.46</v>
      </c>
      <c r="X309" s="30">
        <f>ROUND((M309*0.9*J305+1.3*M309*0.9*N305+S309*G305),4)</f>
        <v>27.263999999999999</v>
      </c>
      <c r="Y309" s="30">
        <f>ROUND((M309*J305+1.3*M309*N305+S309*G305),4)</f>
        <v>30.18</v>
      </c>
      <c r="Z309" s="257">
        <f>ROUND((P305*T309*F305*O305/1000000),4)</f>
        <v>0.76100000000000001</v>
      </c>
      <c r="AA309" s="257">
        <f>ROUND((Q305*U309*F305*O305/1000000),4)</f>
        <v>0.51329999999999998</v>
      </c>
      <c r="AB309" s="257">
        <f>ROUND((R305*V309*F305*O305/1000000),4)</f>
        <v>0.57030000000000003</v>
      </c>
      <c r="AC309" s="258" t="s">
        <v>172</v>
      </c>
      <c r="AD309" s="259" t="s">
        <v>173</v>
      </c>
      <c r="AE309" s="34">
        <f>ROUND((((X309*E305)/1800)),4)</f>
        <v>1.5100000000000001E-2</v>
      </c>
      <c r="AF309" s="34">
        <f>ROUND(((Z309+AA309+AB309)),4)</f>
        <v>1.8446</v>
      </c>
      <c r="AG309" s="254"/>
      <c r="AH309" s="254"/>
    </row>
    <row r="310" spans="1:34" s="61" customFormat="1" ht="15" customHeight="1" x14ac:dyDescent="0.25">
      <c r="A310" s="289"/>
      <c r="B310" s="272"/>
      <c r="C310" s="265"/>
      <c r="D310" s="265"/>
      <c r="E310" s="265"/>
      <c r="F310" s="265"/>
      <c r="G310" s="265"/>
      <c r="H310" s="265"/>
      <c r="I310" s="265"/>
      <c r="J310" s="265"/>
      <c r="K310" s="265"/>
      <c r="L310" s="34">
        <v>3.37</v>
      </c>
      <c r="M310" s="34">
        <v>4.1100000000000003</v>
      </c>
      <c r="N310" s="265"/>
      <c r="O310" s="265"/>
      <c r="P310" s="265"/>
      <c r="Q310" s="265"/>
      <c r="R310" s="265"/>
      <c r="S310" s="271">
        <v>6.31</v>
      </c>
      <c r="T310" s="30">
        <f>ROUND((L310*I305+1.3*L310*K305+S310*H305),4)</f>
        <v>20118.880499999999</v>
      </c>
      <c r="U310" s="30">
        <f>ROUND((M310*0.9*I305+1.3*M310*0.9*K305+S310*H305),4)</f>
        <v>22046.047399999999</v>
      </c>
      <c r="V310" s="30">
        <f>ROUND((M310*I305+1.3*M310*K305+S310*H305),4)</f>
        <v>24453.541499999999</v>
      </c>
      <c r="W310" s="30">
        <f>ROUND((L310*J305+1.3*L310*N305+S310*G305),4)</f>
        <v>128.85</v>
      </c>
      <c r="X310" s="30">
        <f>ROUND((M310*0.9*J305+1.3*M310*0.9*N305+S310*G305),4)</f>
        <v>137.733</v>
      </c>
      <c r="Y310" s="30">
        <f>ROUND((M310*J305+1.3*M310*N305+S310*G305),4)</f>
        <v>148.83000000000001</v>
      </c>
      <c r="Z310" s="257">
        <f>ROUND((P305*T310*F305*O305/1000000),4)</f>
        <v>3.6214</v>
      </c>
      <c r="AA310" s="257">
        <f>ROUND((Q305*U310*F305*O305/1000000),4)</f>
        <v>1.9841</v>
      </c>
      <c r="AB310" s="257">
        <f>ROUND((R305*V310*F305*O305/1000000),4)</f>
        <v>2.2008000000000001</v>
      </c>
      <c r="AC310" s="258" t="s">
        <v>157</v>
      </c>
      <c r="AD310" s="259" t="s">
        <v>153</v>
      </c>
      <c r="AE310" s="34">
        <f>ROUND((((X310*E305)/1800)),4)</f>
        <v>7.6499999999999999E-2</v>
      </c>
      <c r="AF310" s="34">
        <f>ROUND(((Z310+AA310+AB310)),4)</f>
        <v>7.8063000000000002</v>
      </c>
      <c r="AG310" s="254"/>
      <c r="AH310" s="254"/>
    </row>
    <row r="311" spans="1:34" s="61" customFormat="1" ht="15" customHeight="1" x14ac:dyDescent="0.25">
      <c r="A311" s="289"/>
      <c r="B311" s="255" t="s">
        <v>568</v>
      </c>
      <c r="C311" s="255">
        <v>6</v>
      </c>
      <c r="D311" s="30" t="s">
        <v>556</v>
      </c>
      <c r="E311" s="30">
        <v>1</v>
      </c>
      <c r="F311" s="30">
        <v>22</v>
      </c>
      <c r="G311" s="30">
        <v>6</v>
      </c>
      <c r="H311" s="30">
        <v>60</v>
      </c>
      <c r="I311" s="30">
        <f>(8-1-0.75*2)*60*F311-K311-8*0.12*60</f>
        <v>2483.4</v>
      </c>
      <c r="J311" s="30">
        <v>14</v>
      </c>
      <c r="K311" s="30">
        <f>(8-1-0.75*2)*0.65*60*F311</f>
        <v>4719</v>
      </c>
      <c r="L311" s="30">
        <v>6.47</v>
      </c>
      <c r="M311" s="30">
        <v>6.47</v>
      </c>
      <c r="N311" s="30">
        <v>10</v>
      </c>
      <c r="O311" s="30">
        <f>E311/F311</f>
        <v>4.5454545454545456E-2</v>
      </c>
      <c r="P311" s="30">
        <v>180</v>
      </c>
      <c r="Q311" s="30">
        <v>90</v>
      </c>
      <c r="R311" s="256">
        <v>90</v>
      </c>
      <c r="S311" s="256">
        <v>1.27</v>
      </c>
      <c r="T311" s="30">
        <f>ROUND((L311*I311+1.3*L311*K311+S311*H311),4)</f>
        <v>55835.307000000001</v>
      </c>
      <c r="U311" s="30">
        <f>ROUND((M311*I311+1.3*M311*K311+S311*H311),4)</f>
        <v>55835.307000000001</v>
      </c>
      <c r="V311" s="30">
        <f>ROUND((M311*I311+1.3*M311*K311+S311*H311),4)</f>
        <v>55835.307000000001</v>
      </c>
      <c r="W311" s="30">
        <f>ROUND((L311*J311+1.3*L311*N311+S311*G311),4)</f>
        <v>182.31</v>
      </c>
      <c r="X311" s="30">
        <f>ROUND((M311*J311+1.3*M311*N311+S311*G311),4)</f>
        <v>182.31</v>
      </c>
      <c r="Y311" s="30">
        <f>ROUND((M311*J311+1.3*M311*N311+S311*G311),4)</f>
        <v>182.31</v>
      </c>
      <c r="Z311" s="257">
        <f>ROUND((P311*T311*F311*O311/1000000),4)</f>
        <v>10.0504</v>
      </c>
      <c r="AA311" s="257">
        <f>ROUND((Q311*U311*F311*O311/1000000),4)</f>
        <v>5.0251999999999999</v>
      </c>
      <c r="AB311" s="257">
        <f>ROUND((R311*V311*F311*O311/1000000),4)</f>
        <v>5.0251999999999999</v>
      </c>
      <c r="AC311" s="258" t="s">
        <v>165</v>
      </c>
      <c r="AD311" s="259" t="s">
        <v>144</v>
      </c>
      <c r="AE311" s="34">
        <f>ROUND((((X311*E311)/1800)*0.8),4)</f>
        <v>8.1000000000000003E-2</v>
      </c>
      <c r="AF311" s="34">
        <f>ROUND(((Z311+AA311+AB311)*0.8),4)</f>
        <v>16.0806</v>
      </c>
      <c r="AG311" s="254"/>
      <c r="AH311" s="254"/>
    </row>
    <row r="312" spans="1:34" s="61" customFormat="1" ht="15" customHeight="1" x14ac:dyDescent="0.25">
      <c r="A312" s="289"/>
      <c r="B312" s="261" t="s">
        <v>589</v>
      </c>
      <c r="C312" s="32"/>
      <c r="D312" s="32"/>
      <c r="E312" s="32"/>
      <c r="F312" s="32"/>
      <c r="G312" s="32"/>
      <c r="H312" s="32"/>
      <c r="I312" s="32"/>
      <c r="J312" s="32"/>
      <c r="K312" s="32"/>
      <c r="L312" s="265"/>
      <c r="M312" s="265"/>
      <c r="N312" s="32"/>
      <c r="O312" s="32"/>
      <c r="P312" s="32"/>
      <c r="Q312" s="32"/>
      <c r="R312" s="32"/>
      <c r="S312" s="268"/>
      <c r="T312" s="32"/>
      <c r="U312" s="32"/>
      <c r="V312" s="32"/>
      <c r="W312" s="32"/>
      <c r="X312" s="32"/>
      <c r="Y312" s="32"/>
      <c r="Z312" s="32"/>
      <c r="AA312" s="32"/>
      <c r="AB312" s="32"/>
      <c r="AC312" s="258" t="s">
        <v>166</v>
      </c>
      <c r="AD312" s="259" t="s">
        <v>167</v>
      </c>
      <c r="AE312" s="34">
        <f>ROUND((((X311*E311)/1800)*0.13),4)</f>
        <v>1.32E-2</v>
      </c>
      <c r="AF312" s="34">
        <f>ROUND(((Z311+AA311+AB311)*0.13),4)</f>
        <v>2.6131000000000002</v>
      </c>
      <c r="AG312" s="254"/>
      <c r="AH312" s="254"/>
    </row>
    <row r="313" spans="1:34" s="61" customFormat="1" ht="15" customHeight="1" x14ac:dyDescent="0.25">
      <c r="A313" s="289"/>
      <c r="B313" s="273"/>
      <c r="C313" s="263"/>
      <c r="D313" s="263"/>
      <c r="E313" s="32"/>
      <c r="F313" s="32"/>
      <c r="G313" s="32"/>
      <c r="H313" s="32"/>
      <c r="I313" s="32"/>
      <c r="J313" s="32"/>
      <c r="K313" s="32"/>
      <c r="L313" s="34">
        <v>0.51</v>
      </c>
      <c r="M313" s="34">
        <v>0.63</v>
      </c>
      <c r="N313" s="32"/>
      <c r="O313" s="32"/>
      <c r="P313" s="32"/>
      <c r="Q313" s="32"/>
      <c r="R313" s="32"/>
      <c r="S313" s="270">
        <v>0.25</v>
      </c>
      <c r="T313" s="30">
        <f>ROUND((L313*I311+1.3*L313*K311+S313*H311),4)</f>
        <v>4410.2309999999998</v>
      </c>
      <c r="U313" s="30">
        <f>ROUND((M313*0.9*I311+1.3*M313*0.9*K311+S313*H311),4)</f>
        <v>4901.4627</v>
      </c>
      <c r="V313" s="30">
        <f>ROUND((M313*I311+1.3*M313*K311+S313*H311),4)</f>
        <v>5444.4030000000002</v>
      </c>
      <c r="W313" s="30">
        <f>ROUND((L313*J311+1.3*L313*N311+S313*G311),4)</f>
        <v>15.27</v>
      </c>
      <c r="X313" s="30">
        <f>ROUND((M313*0.9*J311+1.3*M313*0.9*N311+S313*G311),4)</f>
        <v>16.809000000000001</v>
      </c>
      <c r="Y313" s="30">
        <f>ROUND((M313*J311+1.3*M313*N311+S313*G311),4)</f>
        <v>18.510000000000002</v>
      </c>
      <c r="Z313" s="257">
        <f>ROUND((P311*T313*F311*O311/1000000),4)</f>
        <v>0.79379999999999995</v>
      </c>
      <c r="AA313" s="257">
        <f>ROUND((Q311*U313*F311*O311/1000000),4)</f>
        <v>0.44109999999999999</v>
      </c>
      <c r="AB313" s="257">
        <f>ROUND((R311*V313*F311*O311/1000000),4)</f>
        <v>0.49</v>
      </c>
      <c r="AC313" s="258" t="s">
        <v>547</v>
      </c>
      <c r="AD313" s="259" t="s">
        <v>169</v>
      </c>
      <c r="AE313" s="34">
        <f>ROUND((((X313*E311)/1800)),4)</f>
        <v>9.2999999999999992E-3</v>
      </c>
      <c r="AF313" s="34">
        <f>ROUND(((Z313+AA313+AB313)),5)</f>
        <v>1.7249000000000001</v>
      </c>
      <c r="AG313" s="254"/>
      <c r="AH313" s="254"/>
    </row>
    <row r="314" spans="1:34" s="61" customFormat="1" ht="15" customHeight="1" x14ac:dyDescent="0.25">
      <c r="A314" s="289"/>
      <c r="B314" s="261"/>
      <c r="C314" s="32"/>
      <c r="D314" s="32"/>
      <c r="E314" s="32"/>
      <c r="F314" s="32"/>
      <c r="G314" s="32"/>
      <c r="H314" s="32"/>
      <c r="I314" s="32"/>
      <c r="J314" s="32"/>
      <c r="K314" s="32"/>
      <c r="L314" s="34">
        <v>1.1399999999999999</v>
      </c>
      <c r="M314" s="34">
        <v>1.37</v>
      </c>
      <c r="N314" s="32"/>
      <c r="O314" s="32"/>
      <c r="P314" s="32"/>
      <c r="Q314" s="32"/>
      <c r="R314" s="32"/>
      <c r="S314" s="271">
        <v>0.79</v>
      </c>
      <c r="T314" s="30">
        <f>ROUND((L314*I311+1.3*L314*K311+S314*H311),4)</f>
        <v>9872.0339999999997</v>
      </c>
      <c r="U314" s="30">
        <f>ROUND((M314*0.9*I311+1.3*M314*0.9*K311+S314*H311),4)</f>
        <v>10673.5173</v>
      </c>
      <c r="V314" s="30">
        <f>ROUND((M314*I311+1.3*M314*K311+S314*H311),4)</f>
        <v>11854.197</v>
      </c>
      <c r="W314" s="30">
        <f>ROUND((L314*J311+1.3*L314*N311+S314*G311),4)</f>
        <v>35.520000000000003</v>
      </c>
      <c r="X314" s="30">
        <f>ROUND((M314*0.9*J311+1.3*M314*0.9*N311+S314*G311),4)</f>
        <v>38.030999999999999</v>
      </c>
      <c r="Y314" s="30">
        <f>ROUND((M314*J311+1.3*N311+S314*G311),4)</f>
        <v>36.92</v>
      </c>
      <c r="Z314" s="257">
        <f>ROUND((P311*T314*F311*O311/1000000),4)</f>
        <v>1.7769999999999999</v>
      </c>
      <c r="AA314" s="257">
        <f>ROUND((Q311*U314*F311*O311/1000000),4)</f>
        <v>0.96060000000000001</v>
      </c>
      <c r="AB314" s="257">
        <f>ROUND((R311*V314*F311*O311/1000000),4)</f>
        <v>1.0669</v>
      </c>
      <c r="AC314" s="258" t="s">
        <v>548</v>
      </c>
      <c r="AD314" s="259" t="s">
        <v>549</v>
      </c>
      <c r="AE314" s="34">
        <f>ROUND((((X314*E311)/1800)),4)</f>
        <v>2.1100000000000001E-2</v>
      </c>
      <c r="AF314" s="34">
        <f>ROUND(((Z314+AA314+AB314)),4)</f>
        <v>3.8045</v>
      </c>
      <c r="AG314" s="254"/>
      <c r="AH314" s="254"/>
    </row>
    <row r="315" spans="1:34" s="61" customFormat="1" ht="15" customHeight="1" x14ac:dyDescent="0.25">
      <c r="A315" s="289"/>
      <c r="B315" s="261"/>
      <c r="C315" s="32"/>
      <c r="D315" s="32"/>
      <c r="E315" s="32"/>
      <c r="F315" s="32"/>
      <c r="G315" s="32"/>
      <c r="H315" s="32"/>
      <c r="I315" s="32"/>
      <c r="J315" s="32"/>
      <c r="K315" s="32"/>
      <c r="L315" s="34">
        <v>0.72</v>
      </c>
      <c r="M315" s="34">
        <v>1.08</v>
      </c>
      <c r="N315" s="32"/>
      <c r="O315" s="32"/>
      <c r="P315" s="32"/>
      <c r="Q315" s="32"/>
      <c r="R315" s="32"/>
      <c r="S315" s="271">
        <v>0.17</v>
      </c>
      <c r="T315" s="30">
        <f>ROUND((L315*I311+1.3*L315*K311+S315*H311),4)</f>
        <v>6215.232</v>
      </c>
      <c r="U315" s="30">
        <f>ROUND((M315*0.9*I311+1.3*M315*0.9*K311+S315*H311),4)</f>
        <v>8386.9932000000008</v>
      </c>
      <c r="V315" s="30">
        <f>ROUND((M315*I311+1.3*M315*K311+S315*H311),4)</f>
        <v>9317.7479999999996</v>
      </c>
      <c r="W315" s="30">
        <f>ROUND((L315*J311+1.3*L315*N311+S315*G311),4)</f>
        <v>20.46</v>
      </c>
      <c r="X315" s="30">
        <f>ROUND((M315*0.9*J311+1.3*M315*0.9*N311+S315*G311),4)</f>
        <v>27.263999999999999</v>
      </c>
      <c r="Y315" s="30">
        <f>ROUND((M315*J311+1.3*M315*N311+S315*G311),4)</f>
        <v>30.18</v>
      </c>
      <c r="Z315" s="257">
        <f>ROUND((P311*T315*F311*O311/1000000),4)</f>
        <v>1.1187</v>
      </c>
      <c r="AA315" s="257">
        <f>ROUND((Q311*U315*F311*O311/1000000),4)</f>
        <v>0.75480000000000003</v>
      </c>
      <c r="AB315" s="257">
        <f>ROUND((R311*V315*F311*O311/1000000),4)</f>
        <v>0.83860000000000001</v>
      </c>
      <c r="AC315" s="258" t="s">
        <v>172</v>
      </c>
      <c r="AD315" s="259" t="s">
        <v>173</v>
      </c>
      <c r="AE315" s="34">
        <f>ROUND((((X315*E311)/1800)),4)</f>
        <v>1.5100000000000001E-2</v>
      </c>
      <c r="AF315" s="34">
        <f>ROUND(((Z315+AA315+AB315)),4)</f>
        <v>2.7121</v>
      </c>
      <c r="AG315" s="254"/>
      <c r="AH315" s="254"/>
    </row>
    <row r="316" spans="1:34" s="61" customFormat="1" ht="15" customHeight="1" x14ac:dyDescent="0.25">
      <c r="A316" s="289"/>
      <c r="B316" s="272"/>
      <c r="C316" s="265"/>
      <c r="D316" s="265"/>
      <c r="E316" s="265"/>
      <c r="F316" s="265"/>
      <c r="G316" s="265"/>
      <c r="H316" s="265"/>
      <c r="I316" s="265"/>
      <c r="J316" s="265"/>
      <c r="K316" s="265"/>
      <c r="L316" s="34">
        <v>3.37</v>
      </c>
      <c r="M316" s="34">
        <v>4.1100000000000003</v>
      </c>
      <c r="N316" s="265"/>
      <c r="O316" s="265"/>
      <c r="P316" s="265"/>
      <c r="Q316" s="265"/>
      <c r="R316" s="265"/>
      <c r="S316" s="271">
        <v>6.31</v>
      </c>
      <c r="T316" s="30">
        <f>ROUND((L316*I311+1.3*L316*K311+S316*H311),4)</f>
        <v>29421.597000000002</v>
      </c>
      <c r="U316" s="30">
        <f>ROUND((M316*0.9*I311+1.3*M316*0.9*K311+S316*H311),4)</f>
        <v>32256.9519</v>
      </c>
      <c r="V316" s="30">
        <f>ROUND((M316*I311+1.3*M316*K311+S316*H311),4)</f>
        <v>35798.991000000002</v>
      </c>
      <c r="W316" s="30">
        <f>ROUND((L316*J311+1.3*L316*N311+S316*G311),4)</f>
        <v>128.85</v>
      </c>
      <c r="X316" s="30">
        <f>ROUND((M316*0.9*J311+1.3*M316*0.9*N311+S316*G311),4)</f>
        <v>137.733</v>
      </c>
      <c r="Y316" s="30">
        <f>ROUND((M316*J311+1.3*M316*N311+S316*G311),4)</f>
        <v>148.83000000000001</v>
      </c>
      <c r="Z316" s="257">
        <f>ROUND((P311*T316*F311*O311/1000000),4)</f>
        <v>5.2958999999999996</v>
      </c>
      <c r="AA316" s="257">
        <f>ROUND((Q311*U316*F311*O311/1000000),4)</f>
        <v>2.9030999999999998</v>
      </c>
      <c r="AB316" s="257">
        <f>ROUND((R311*V316*F311*O311/1000000),4)</f>
        <v>3.2219000000000002</v>
      </c>
      <c r="AC316" s="258" t="s">
        <v>157</v>
      </c>
      <c r="AD316" s="259" t="s">
        <v>153</v>
      </c>
      <c r="AE316" s="34">
        <f>ROUND((((X316*E311)/1800)),4)</f>
        <v>7.6499999999999999E-2</v>
      </c>
      <c r="AF316" s="34">
        <f>ROUND(((Z316+AA316+AB316)),4)</f>
        <v>11.4209</v>
      </c>
      <c r="AG316" s="254"/>
      <c r="AH316" s="254"/>
    </row>
    <row r="317" spans="1:34" s="61" customFormat="1" ht="15" customHeight="1" x14ac:dyDescent="0.25">
      <c r="A317" s="289"/>
      <c r="B317" s="1643" t="s">
        <v>568</v>
      </c>
      <c r="C317" s="255">
        <v>6</v>
      </c>
      <c r="D317" s="30" t="s">
        <v>556</v>
      </c>
      <c r="E317" s="30">
        <v>1</v>
      </c>
      <c r="F317" s="30">
        <v>5</v>
      </c>
      <c r="G317" s="30">
        <v>6</v>
      </c>
      <c r="H317" s="30">
        <v>60</v>
      </c>
      <c r="I317" s="30">
        <f>(8-1-0.75*2)*60*F317-K317-8*0.12*60</f>
        <v>519.9</v>
      </c>
      <c r="J317" s="30">
        <v>14</v>
      </c>
      <c r="K317" s="30">
        <f>(8-1-0.75*2)*0.65*60*F317</f>
        <v>1072.5</v>
      </c>
      <c r="L317" s="30">
        <v>6.47</v>
      </c>
      <c r="M317" s="30">
        <v>6.47</v>
      </c>
      <c r="N317" s="30">
        <v>10</v>
      </c>
      <c r="O317" s="30">
        <f>E317/F317</f>
        <v>0.2</v>
      </c>
      <c r="P317" s="30">
        <v>180</v>
      </c>
      <c r="Q317" s="30">
        <v>90</v>
      </c>
      <c r="R317" s="256">
        <v>90</v>
      </c>
      <c r="S317" s="256">
        <v>1.27</v>
      </c>
      <c r="T317" s="30">
        <f>ROUND((L317*I317+1.3*L317*K317+S317*H317),4)</f>
        <v>12460.7505</v>
      </c>
      <c r="U317" s="30">
        <f>ROUND((M317*I317+1.3*M317*K317+S317*H317),4)</f>
        <v>12460.7505</v>
      </c>
      <c r="V317" s="30">
        <f>ROUND((M317*I317+1.3*M317*K317+S317*H317),4)</f>
        <v>12460.7505</v>
      </c>
      <c r="W317" s="30">
        <f>ROUND((L317*J317+1.3*L317*N317+S317*G317),4)</f>
        <v>182.31</v>
      </c>
      <c r="X317" s="30">
        <f>ROUND((M317*J317+1.3*M317*N317+S317*G317),4)</f>
        <v>182.31</v>
      </c>
      <c r="Y317" s="30">
        <f>ROUND((M317*J317+1.3*M317*N317+S317*G317),4)</f>
        <v>182.31</v>
      </c>
      <c r="Z317" s="257">
        <f>ROUND((P317*T317*F317*O317/1000000),4)</f>
        <v>2.2429000000000001</v>
      </c>
      <c r="AA317" s="257">
        <f>ROUND((Q317*U317*F317*O317/1000000),4)</f>
        <v>1.1214999999999999</v>
      </c>
      <c r="AB317" s="257">
        <f>ROUND((R317*V317*F317*O317/1000000),4)</f>
        <v>1.1214999999999999</v>
      </c>
      <c r="AC317" s="258" t="s">
        <v>165</v>
      </c>
      <c r="AD317" s="259" t="s">
        <v>144</v>
      </c>
      <c r="AE317" s="34">
        <f>ROUND((((X317*E317)/1800)*0.8),4)</f>
        <v>8.1000000000000003E-2</v>
      </c>
      <c r="AF317" s="34">
        <f>ROUND(((Z317+AA317+AB317)*0.8),4)</f>
        <v>3.5886999999999998</v>
      </c>
      <c r="AG317" s="254"/>
      <c r="AH317" s="254"/>
    </row>
    <row r="318" spans="1:34" s="61" customFormat="1" ht="15" customHeight="1" x14ac:dyDescent="0.25">
      <c r="A318" s="289"/>
      <c r="B318" s="1640"/>
      <c r="C318" s="32"/>
      <c r="D318" s="32"/>
      <c r="E318" s="32"/>
      <c r="F318" s="32"/>
      <c r="G318" s="32"/>
      <c r="H318" s="32"/>
      <c r="I318" s="32"/>
      <c r="J318" s="32"/>
      <c r="K318" s="32"/>
      <c r="L318" s="265"/>
      <c r="M318" s="265"/>
      <c r="N318" s="32"/>
      <c r="O318" s="32"/>
      <c r="P318" s="32"/>
      <c r="Q318" s="32"/>
      <c r="R318" s="32"/>
      <c r="S318" s="268"/>
      <c r="T318" s="32"/>
      <c r="U318" s="32"/>
      <c r="V318" s="32"/>
      <c r="W318" s="32"/>
      <c r="X318" s="32"/>
      <c r="Y318" s="32"/>
      <c r="Z318" s="32"/>
      <c r="AA318" s="32"/>
      <c r="AB318" s="32"/>
      <c r="AC318" s="258" t="s">
        <v>166</v>
      </c>
      <c r="AD318" s="259" t="s">
        <v>167</v>
      </c>
      <c r="AE318" s="34">
        <f>ROUND((((X317*E317)/1800)*0.13),4)</f>
        <v>1.32E-2</v>
      </c>
      <c r="AF318" s="34">
        <f>ROUND(((Z317+AA317+AB317)*0.13),4)</f>
        <v>0.58320000000000005</v>
      </c>
      <c r="AG318" s="254"/>
      <c r="AH318" s="254"/>
    </row>
    <row r="319" spans="1:34" s="61" customFormat="1" ht="15" customHeight="1" x14ac:dyDescent="0.25">
      <c r="A319" s="289"/>
      <c r="B319" s="261" t="s">
        <v>590</v>
      </c>
      <c r="C319" s="263"/>
      <c r="D319" s="263"/>
      <c r="E319" s="32"/>
      <c r="F319" s="32"/>
      <c r="G319" s="32"/>
      <c r="H319" s="32"/>
      <c r="I319" s="32"/>
      <c r="J319" s="32"/>
      <c r="K319" s="32"/>
      <c r="L319" s="34">
        <v>0.51</v>
      </c>
      <c r="M319" s="34">
        <v>0.63</v>
      </c>
      <c r="N319" s="32"/>
      <c r="O319" s="32"/>
      <c r="P319" s="32"/>
      <c r="Q319" s="32"/>
      <c r="R319" s="32"/>
      <c r="S319" s="270">
        <v>0.25</v>
      </c>
      <c r="T319" s="30">
        <f>ROUND((L319*I317+1.3*L319*K317+S319*H317),4)</f>
        <v>991.2165</v>
      </c>
      <c r="U319" s="30">
        <f>ROUND((M319*0.9*I317+1.3*M319*0.9*K317+S319*H317),4)</f>
        <v>1100.3231000000001</v>
      </c>
      <c r="V319" s="30">
        <f>ROUND((M319*I317+1.3*M319*K317+S319*H317),4)</f>
        <v>1220.9145000000001</v>
      </c>
      <c r="W319" s="30">
        <f>ROUND((L319*J317+1.3*L319*N317+S319*G317),4)</f>
        <v>15.27</v>
      </c>
      <c r="X319" s="30">
        <f>ROUND((M319*0.9*J317+1.3*M319*0.9*N317+S319*G317),4)</f>
        <v>16.809000000000001</v>
      </c>
      <c r="Y319" s="30">
        <f>ROUND((M319*J317+1.3*M319*N317+S319*G317),4)</f>
        <v>18.510000000000002</v>
      </c>
      <c r="Z319" s="257">
        <f>ROUND((P317*T319*F317*O317/1000000),4)</f>
        <v>0.1784</v>
      </c>
      <c r="AA319" s="257">
        <f>ROUND((Q317*U319*F317*O317/1000000),4)</f>
        <v>9.9000000000000005E-2</v>
      </c>
      <c r="AB319" s="257">
        <f>ROUND((R317*V319*F317*O317/1000000),4)</f>
        <v>0.1099</v>
      </c>
      <c r="AC319" s="258" t="s">
        <v>547</v>
      </c>
      <c r="AD319" s="259" t="s">
        <v>169</v>
      </c>
      <c r="AE319" s="34">
        <f>ROUND((((X319*E317)/1800)),4)</f>
        <v>9.2999999999999992E-3</v>
      </c>
      <c r="AF319" s="34">
        <f>ROUND(((Z319+AA319+AB319)),5)</f>
        <v>0.38729999999999998</v>
      </c>
      <c r="AG319" s="254"/>
      <c r="AH319" s="254"/>
    </row>
    <row r="320" spans="1:34" s="61" customFormat="1" ht="15" customHeight="1" x14ac:dyDescent="0.25">
      <c r="A320" s="289"/>
      <c r="B320" s="261"/>
      <c r="C320" s="32"/>
      <c r="D320" s="32"/>
      <c r="E320" s="32"/>
      <c r="F320" s="32"/>
      <c r="G320" s="32"/>
      <c r="H320" s="32"/>
      <c r="I320" s="32"/>
      <c r="J320" s="32"/>
      <c r="K320" s="32"/>
      <c r="L320" s="34">
        <v>1.1399999999999999</v>
      </c>
      <c r="M320" s="34">
        <v>1.37</v>
      </c>
      <c r="N320" s="32"/>
      <c r="O320" s="32"/>
      <c r="P320" s="32"/>
      <c r="Q320" s="32"/>
      <c r="R320" s="32"/>
      <c r="S320" s="271">
        <v>0.79</v>
      </c>
      <c r="T320" s="30">
        <f>ROUND((L320*I317+1.3*L320*K317+S320*H317),4)</f>
        <v>2229.5309999999999</v>
      </c>
      <c r="U320" s="30">
        <f>ROUND((M320*0.9*I317+1.3*M320*0.9*K317+S320*H317),4)</f>
        <v>2407.547</v>
      </c>
      <c r="V320" s="30">
        <f>ROUND((M320*I317+1.3*M320*K317+S320*H317),4)</f>
        <v>2669.7855</v>
      </c>
      <c r="W320" s="30">
        <f>ROUND((L320*J317+1.3*L320*N317+S320*G317),4)</f>
        <v>35.520000000000003</v>
      </c>
      <c r="X320" s="30">
        <f>ROUND((M320*0.9*J317+1.3*M320*0.9*N317+S320*G317),4)</f>
        <v>38.030999999999999</v>
      </c>
      <c r="Y320" s="30">
        <f>ROUND((M320*J317+1.3*N317+S320*G317),4)</f>
        <v>36.92</v>
      </c>
      <c r="Z320" s="257">
        <f>ROUND((P317*T320*F317*O317/1000000),4)</f>
        <v>0.40129999999999999</v>
      </c>
      <c r="AA320" s="257">
        <f>ROUND((Q317*U320*F317*O317/1000000),4)</f>
        <v>0.2167</v>
      </c>
      <c r="AB320" s="257">
        <f>ROUND((R317*V320*F317*O317/1000000),4)</f>
        <v>0.24030000000000001</v>
      </c>
      <c r="AC320" s="258" t="s">
        <v>548</v>
      </c>
      <c r="AD320" s="259" t="s">
        <v>549</v>
      </c>
      <c r="AE320" s="34">
        <f>ROUND((((X320*E317)/1800)),4)</f>
        <v>2.1100000000000001E-2</v>
      </c>
      <c r="AF320" s="34">
        <f>ROUND(((Z320+AA320+AB320)),4)</f>
        <v>0.85829999999999995</v>
      </c>
      <c r="AG320" s="254"/>
      <c r="AH320" s="254"/>
    </row>
    <row r="321" spans="1:34" s="61" customFormat="1" ht="15" customHeight="1" x14ac:dyDescent="0.25">
      <c r="A321" s="289"/>
      <c r="B321" s="261"/>
      <c r="C321" s="32"/>
      <c r="D321" s="32"/>
      <c r="E321" s="32"/>
      <c r="F321" s="32"/>
      <c r="G321" s="32"/>
      <c r="H321" s="32"/>
      <c r="I321" s="32"/>
      <c r="J321" s="32"/>
      <c r="K321" s="32"/>
      <c r="L321" s="34">
        <v>0.72</v>
      </c>
      <c r="M321" s="34">
        <v>1.08</v>
      </c>
      <c r="N321" s="32"/>
      <c r="O321" s="32"/>
      <c r="P321" s="32"/>
      <c r="Q321" s="32"/>
      <c r="R321" s="32"/>
      <c r="S321" s="271">
        <v>0.17</v>
      </c>
      <c r="T321" s="30">
        <f>ROUND((L321*I317+1.3*L321*K317+S321*H317),4)</f>
        <v>1388.3879999999999</v>
      </c>
      <c r="U321" s="30">
        <f>ROUND((M321*0.9*I317+1.3*M321*0.9*K317+S321*H317),4)</f>
        <v>1870.7538</v>
      </c>
      <c r="V321" s="30">
        <f>ROUND((M321*I317+1.3*M321*K317+S321*H317),4)</f>
        <v>2077.482</v>
      </c>
      <c r="W321" s="30">
        <f>ROUND((L321*J317+1.3*L321*N317+S321*G317),4)</f>
        <v>20.46</v>
      </c>
      <c r="X321" s="30">
        <f>ROUND((M321*0.9*J317+1.3*M321*0.9*N317+S321*G317),4)</f>
        <v>27.263999999999999</v>
      </c>
      <c r="Y321" s="30">
        <f>ROUND((M321*J317+1.3*M321*N317+S321*G317),4)</f>
        <v>30.18</v>
      </c>
      <c r="Z321" s="257">
        <f>ROUND((P317*T321*F317*O317/1000000),4)</f>
        <v>0.24990000000000001</v>
      </c>
      <c r="AA321" s="257">
        <f>ROUND((Q317*U321*F317*O317/1000000),4)</f>
        <v>0.16839999999999999</v>
      </c>
      <c r="AB321" s="257">
        <f>ROUND((R317*V321*F317*O317/1000000),4)</f>
        <v>0.187</v>
      </c>
      <c r="AC321" s="258" t="s">
        <v>172</v>
      </c>
      <c r="AD321" s="259" t="s">
        <v>173</v>
      </c>
      <c r="AE321" s="34">
        <f>ROUND((((X321*E317)/1800)),4)</f>
        <v>1.5100000000000001E-2</v>
      </c>
      <c r="AF321" s="34">
        <f>ROUND(((Z321+AA321+AB321)),4)</f>
        <v>0.60529999999999995</v>
      </c>
      <c r="AG321" s="254"/>
      <c r="AH321" s="254"/>
    </row>
    <row r="322" spans="1:34" s="61" customFormat="1" ht="15" customHeight="1" x14ac:dyDescent="0.25">
      <c r="A322" s="289"/>
      <c r="B322" s="272"/>
      <c r="C322" s="265"/>
      <c r="D322" s="265"/>
      <c r="E322" s="265"/>
      <c r="F322" s="265"/>
      <c r="G322" s="265"/>
      <c r="H322" s="265"/>
      <c r="I322" s="265"/>
      <c r="J322" s="265"/>
      <c r="K322" s="265"/>
      <c r="L322" s="34">
        <v>3.37</v>
      </c>
      <c r="M322" s="34">
        <v>4.1100000000000003</v>
      </c>
      <c r="N322" s="265"/>
      <c r="O322" s="265"/>
      <c r="P322" s="265"/>
      <c r="Q322" s="265"/>
      <c r="R322" s="265"/>
      <c r="S322" s="271">
        <v>6.31</v>
      </c>
      <c r="T322" s="30">
        <f>ROUND((L322*I317+1.3*L322*K317+S322*H317),4)</f>
        <v>6829.2855</v>
      </c>
      <c r="U322" s="30">
        <f>ROUND((M322*0.9*I317+1.3*M322*0.9*K317+S322*H317),4)</f>
        <v>7459.0409</v>
      </c>
      <c r="V322" s="30">
        <f>ROUND((M322*I317+1.3*M322*K317+S322*H317),4)</f>
        <v>8245.7564999999995</v>
      </c>
      <c r="W322" s="30">
        <f>ROUND((L322*J317+1.3*L322*N317+S322*G317),4)</f>
        <v>128.85</v>
      </c>
      <c r="X322" s="30">
        <f>ROUND((M322*0.9*J317+1.3*M322*0.9*N317+S322*G317),4)</f>
        <v>137.733</v>
      </c>
      <c r="Y322" s="30">
        <f>ROUND((M322*J317+1.3*M322*N317+S322*G317),4)</f>
        <v>148.83000000000001</v>
      </c>
      <c r="Z322" s="257">
        <f>ROUND((P317*T322*F317*O317/1000000),4)</f>
        <v>1.2293000000000001</v>
      </c>
      <c r="AA322" s="257">
        <f>ROUND((Q317*U322*F317*O317/1000000),4)</f>
        <v>0.67130000000000001</v>
      </c>
      <c r="AB322" s="257">
        <f>ROUND((R317*V322*F317*O317/1000000),4)</f>
        <v>0.74209999999999998</v>
      </c>
      <c r="AC322" s="258" t="s">
        <v>157</v>
      </c>
      <c r="AD322" s="259" t="s">
        <v>153</v>
      </c>
      <c r="AE322" s="34">
        <f>ROUND((((X322*E317)/1800)),4)</f>
        <v>7.6499999999999999E-2</v>
      </c>
      <c r="AF322" s="34">
        <f>ROUND(((Z322+AA322+AB322)),4)</f>
        <v>2.6427</v>
      </c>
      <c r="AG322" s="254"/>
      <c r="AH322" s="254"/>
    </row>
    <row r="323" spans="1:34" s="61" customFormat="1" ht="15" customHeight="1" x14ac:dyDescent="0.25">
      <c r="A323" s="289"/>
      <c r="B323" s="1643" t="s">
        <v>568</v>
      </c>
      <c r="C323" s="255">
        <v>6</v>
      </c>
      <c r="D323" s="30" t="s">
        <v>556</v>
      </c>
      <c r="E323" s="30">
        <v>1</v>
      </c>
      <c r="F323" s="30">
        <v>1</v>
      </c>
      <c r="G323" s="30">
        <v>6</v>
      </c>
      <c r="H323" s="30">
        <v>60</v>
      </c>
      <c r="I323" s="30">
        <f>(8-1-0.75*2)*60*F323-K323-8*0.12*60</f>
        <v>57.900000000000006</v>
      </c>
      <c r="J323" s="30">
        <v>14</v>
      </c>
      <c r="K323" s="30">
        <f>(8-1-0.75*2)*0.65*60*F323</f>
        <v>214.5</v>
      </c>
      <c r="L323" s="30">
        <v>6.47</v>
      </c>
      <c r="M323" s="30">
        <v>6.47</v>
      </c>
      <c r="N323" s="30">
        <v>10</v>
      </c>
      <c r="O323" s="30">
        <f>E323/F323</f>
        <v>1</v>
      </c>
      <c r="P323" s="30">
        <v>180</v>
      </c>
      <c r="Q323" s="30">
        <v>90</v>
      </c>
      <c r="R323" s="256">
        <v>90</v>
      </c>
      <c r="S323" s="256">
        <v>1.27</v>
      </c>
      <c r="T323" s="30">
        <f>ROUND((L323*I323+1.3*L323*K323+S323*H323),4)</f>
        <v>2254.9724999999999</v>
      </c>
      <c r="U323" s="30">
        <f>ROUND((M323*I323+1.3*M323*K323+S323*H323),4)</f>
        <v>2254.9724999999999</v>
      </c>
      <c r="V323" s="30">
        <f>ROUND((M323*I323+1.3*M323*K323+S323*H323),4)</f>
        <v>2254.9724999999999</v>
      </c>
      <c r="W323" s="30">
        <f>ROUND((L323*J323+1.3*L323*N323+S323*G323),4)</f>
        <v>182.31</v>
      </c>
      <c r="X323" s="30">
        <f>ROUND((M323*J323+1.3*M323*N323+S323*G323),4)</f>
        <v>182.31</v>
      </c>
      <c r="Y323" s="30">
        <f>ROUND((M323*J323+1.3*M323*N323+S323*G323),4)</f>
        <v>182.31</v>
      </c>
      <c r="Z323" s="257">
        <f>ROUND((P323*T323*F323*O323/1000000),4)</f>
        <v>0.40589999999999998</v>
      </c>
      <c r="AA323" s="257">
        <f>ROUND((Q323*U323*F323*O323/1000000),4)</f>
        <v>0.2029</v>
      </c>
      <c r="AB323" s="257">
        <f>ROUND((R323*V323*F323*O323/1000000),4)</f>
        <v>0.2029</v>
      </c>
      <c r="AC323" s="258" t="s">
        <v>165</v>
      </c>
      <c r="AD323" s="259" t="s">
        <v>144</v>
      </c>
      <c r="AE323" s="34">
        <f>ROUND((((X323*E323)/1800)*0.8),4)</f>
        <v>8.1000000000000003E-2</v>
      </c>
      <c r="AF323" s="34">
        <f>ROUND(((Z323+AA323+AB323)*0.8),4)</f>
        <v>0.64939999999999998</v>
      </c>
    </row>
    <row r="324" spans="1:34" s="61" customFormat="1" ht="15" customHeight="1" x14ac:dyDescent="0.25">
      <c r="A324" s="289"/>
      <c r="B324" s="1640"/>
      <c r="C324" s="32"/>
      <c r="D324" s="32"/>
      <c r="E324" s="32"/>
      <c r="F324" s="32"/>
      <c r="G324" s="32"/>
      <c r="H324" s="32"/>
      <c r="I324" s="32"/>
      <c r="J324" s="32"/>
      <c r="K324" s="32"/>
      <c r="L324" s="265"/>
      <c r="M324" s="265"/>
      <c r="N324" s="32"/>
      <c r="O324" s="32"/>
      <c r="P324" s="32"/>
      <c r="Q324" s="32"/>
      <c r="R324" s="32"/>
      <c r="S324" s="268"/>
      <c r="T324" s="32"/>
      <c r="U324" s="32"/>
      <c r="V324" s="32"/>
      <c r="W324" s="32"/>
      <c r="X324" s="32"/>
      <c r="Y324" s="32"/>
      <c r="Z324" s="32"/>
      <c r="AA324" s="32"/>
      <c r="AB324" s="32"/>
      <c r="AC324" s="258" t="s">
        <v>166</v>
      </c>
      <c r="AD324" s="259" t="s">
        <v>167</v>
      </c>
      <c r="AE324" s="34">
        <f>ROUND((((X323*E323)/1800)*0.13),4)</f>
        <v>1.32E-2</v>
      </c>
      <c r="AF324" s="34">
        <f>ROUND(((Z323+AA323+AB323)*0.13),4)</f>
        <v>0.1055</v>
      </c>
    </row>
    <row r="325" spans="1:34" s="61" customFormat="1" ht="15" customHeight="1" x14ac:dyDescent="0.25">
      <c r="A325" s="289"/>
      <c r="B325" s="1640" t="s">
        <v>605</v>
      </c>
      <c r="C325" s="263"/>
      <c r="D325" s="263"/>
      <c r="E325" s="32"/>
      <c r="F325" s="32"/>
      <c r="G325" s="32"/>
      <c r="H325" s="32"/>
      <c r="I325" s="32"/>
      <c r="J325" s="32"/>
      <c r="K325" s="32"/>
      <c r="L325" s="34">
        <v>0.51</v>
      </c>
      <c r="M325" s="34">
        <v>0.63</v>
      </c>
      <c r="N325" s="32"/>
      <c r="O325" s="32"/>
      <c r="P325" s="32"/>
      <c r="Q325" s="32"/>
      <c r="R325" s="32"/>
      <c r="S325" s="270">
        <v>0.25</v>
      </c>
      <c r="T325" s="30">
        <f>ROUND((L325*I323+1.3*L325*K323+S325*H323),4)</f>
        <v>186.74250000000001</v>
      </c>
      <c r="U325" s="30">
        <f>ROUND((M325*0.9*I323+1.3*M325*0.9*K323+S325*H323),4)</f>
        <v>205.93729999999999</v>
      </c>
      <c r="V325" s="30">
        <f>ROUND((M325*I323+1.3*M325*K323+S325*H323),4)</f>
        <v>227.1525</v>
      </c>
      <c r="W325" s="30">
        <f>ROUND((L325*J323+1.3*L325*N323+S325*G323),4)</f>
        <v>15.27</v>
      </c>
      <c r="X325" s="30">
        <f>ROUND((M325*0.9*J323+1.3*M325*0.9*N323+S325*G323),4)</f>
        <v>16.809000000000001</v>
      </c>
      <c r="Y325" s="30">
        <f>ROUND((M325*J323+1.3*M325*N323+S325*G323),4)</f>
        <v>18.510000000000002</v>
      </c>
      <c r="Z325" s="257">
        <f>ROUND((P323*T325*F323*O323/1000000),4)</f>
        <v>3.3599999999999998E-2</v>
      </c>
      <c r="AA325" s="257">
        <f>ROUND((Q323*U325*F323*O323/1000000),4)</f>
        <v>1.8499999999999999E-2</v>
      </c>
      <c r="AB325" s="257">
        <f>ROUND((R323*V325*F323*O323/1000000),4)</f>
        <v>2.0400000000000001E-2</v>
      </c>
      <c r="AC325" s="258" t="s">
        <v>547</v>
      </c>
      <c r="AD325" s="259" t="s">
        <v>169</v>
      </c>
      <c r="AE325" s="34">
        <f>ROUND((((X325*E323)/1800)),4)</f>
        <v>9.2999999999999992E-3</v>
      </c>
      <c r="AF325" s="34">
        <f>ROUND(((Z325+AA325+AB325)),5)</f>
        <v>7.2499999999999995E-2</v>
      </c>
    </row>
    <row r="326" spans="1:34" s="61" customFormat="1" ht="15" customHeight="1" x14ac:dyDescent="0.25">
      <c r="A326" s="289"/>
      <c r="B326" s="1640"/>
      <c r="C326" s="32"/>
      <c r="D326" s="32"/>
      <c r="E326" s="32"/>
      <c r="F326" s="32"/>
      <c r="G326" s="32"/>
      <c r="H326" s="32"/>
      <c r="I326" s="32"/>
      <c r="J326" s="32"/>
      <c r="K326" s="32"/>
      <c r="L326" s="34">
        <v>1.1399999999999999</v>
      </c>
      <c r="M326" s="34">
        <v>1.37</v>
      </c>
      <c r="N326" s="32"/>
      <c r="O326" s="32"/>
      <c r="P326" s="32"/>
      <c r="Q326" s="32"/>
      <c r="R326" s="32"/>
      <c r="S326" s="271">
        <v>0.79</v>
      </c>
      <c r="T326" s="30">
        <f>ROUND((L326*I323+1.3*L326*K323+S326*H323),4)</f>
        <v>431.29500000000002</v>
      </c>
      <c r="U326" s="30">
        <f>ROUND((M326*0.9*I323+1.3*M326*0.9*K323+S326*H323),4)</f>
        <v>462.61279999999999</v>
      </c>
      <c r="V326" s="30">
        <f>ROUND((M326*I323+1.3*M326*K323+S326*H323),4)</f>
        <v>508.7475</v>
      </c>
      <c r="W326" s="30">
        <f>ROUND((L326*J323+1.3*L326*N323+S326*G323),4)</f>
        <v>35.520000000000003</v>
      </c>
      <c r="X326" s="30">
        <f>ROUND((M326*0.9*J323+1.3*M326*0.9*N323+S326*G323),4)</f>
        <v>38.030999999999999</v>
      </c>
      <c r="Y326" s="30">
        <f>ROUND((M326*J323+1.3*N323+S326*G323),4)</f>
        <v>36.92</v>
      </c>
      <c r="Z326" s="257">
        <f>ROUND((P323*T326*F323*O323/1000000),4)</f>
        <v>7.7600000000000002E-2</v>
      </c>
      <c r="AA326" s="257">
        <f>ROUND((Q323*U326*F323*O323/1000000),4)</f>
        <v>4.1599999999999998E-2</v>
      </c>
      <c r="AB326" s="257">
        <f>ROUND((R323*V326*F323*O323/1000000),4)</f>
        <v>4.58E-2</v>
      </c>
      <c r="AC326" s="258" t="s">
        <v>548</v>
      </c>
      <c r="AD326" s="259" t="s">
        <v>549</v>
      </c>
      <c r="AE326" s="34">
        <f>ROUND((((X326*E323)/1800)),4)</f>
        <v>2.1100000000000001E-2</v>
      </c>
      <c r="AF326" s="34">
        <f>ROUND(((Z326+AA326+AB326)),4)</f>
        <v>0.16500000000000001</v>
      </c>
    </row>
    <row r="327" spans="1:34" s="61" customFormat="1" ht="15" customHeight="1" x14ac:dyDescent="0.25">
      <c r="A327" s="289"/>
      <c r="B327" s="261"/>
      <c r="C327" s="32"/>
      <c r="D327" s="32"/>
      <c r="E327" s="32"/>
      <c r="F327" s="32"/>
      <c r="G327" s="32"/>
      <c r="H327" s="32"/>
      <c r="I327" s="32"/>
      <c r="J327" s="32"/>
      <c r="K327" s="32"/>
      <c r="L327" s="34">
        <v>0.72</v>
      </c>
      <c r="M327" s="34">
        <v>1.08</v>
      </c>
      <c r="N327" s="32"/>
      <c r="O327" s="32"/>
      <c r="P327" s="32"/>
      <c r="Q327" s="32"/>
      <c r="R327" s="32"/>
      <c r="S327" s="271">
        <v>0.17</v>
      </c>
      <c r="T327" s="30">
        <f>ROUND((L327*I323+1.3*L327*K323+S327*H323),4)</f>
        <v>252.66</v>
      </c>
      <c r="U327" s="30">
        <f>ROUND((M327*0.9*I323+1.3*M327*0.9*K323+S327*H323),4)</f>
        <v>337.52100000000002</v>
      </c>
      <c r="V327" s="30">
        <f>ROUND((M327*I323+1.3*M327*K323+S327*H323),4)</f>
        <v>373.89</v>
      </c>
      <c r="W327" s="30">
        <f>ROUND((L327*J323+1.3*L327*N323+S327*G323),4)</f>
        <v>20.46</v>
      </c>
      <c r="X327" s="30">
        <f>ROUND((M327*0.9*J323+1.3*M327*0.9*N323+S327*G323),4)</f>
        <v>27.263999999999999</v>
      </c>
      <c r="Y327" s="30">
        <f>ROUND((M327*J323+1.3*M327*N323+S327*G323),4)</f>
        <v>30.18</v>
      </c>
      <c r="Z327" s="257">
        <f>ROUND((P323*T327*F323*O323/1000000),4)</f>
        <v>4.5499999999999999E-2</v>
      </c>
      <c r="AA327" s="257">
        <f>ROUND((Q323*U327*F323*O323/1000000),4)</f>
        <v>3.04E-2</v>
      </c>
      <c r="AB327" s="257">
        <f>ROUND((R323*V327*F323*O323/1000000),4)</f>
        <v>3.3700000000000001E-2</v>
      </c>
      <c r="AC327" s="258" t="s">
        <v>172</v>
      </c>
      <c r="AD327" s="259" t="s">
        <v>173</v>
      </c>
      <c r="AE327" s="34">
        <f>ROUND((((X327*E323)/1800)),4)</f>
        <v>1.5100000000000001E-2</v>
      </c>
      <c r="AF327" s="34">
        <f>ROUND(((Z327+AA327+AB327)),4)</f>
        <v>0.1096</v>
      </c>
    </row>
    <row r="328" spans="1:34" s="61" customFormat="1" ht="15" customHeight="1" x14ac:dyDescent="0.25">
      <c r="A328" s="289"/>
      <c r="B328" s="272"/>
      <c r="C328" s="265"/>
      <c r="D328" s="265"/>
      <c r="E328" s="265"/>
      <c r="F328" s="265"/>
      <c r="G328" s="265"/>
      <c r="H328" s="265"/>
      <c r="I328" s="265"/>
      <c r="J328" s="265"/>
      <c r="K328" s="265"/>
      <c r="L328" s="34">
        <v>3.37</v>
      </c>
      <c r="M328" s="34">
        <v>4.1100000000000003</v>
      </c>
      <c r="N328" s="265"/>
      <c r="O328" s="265"/>
      <c r="P328" s="265"/>
      <c r="Q328" s="265"/>
      <c r="R328" s="265"/>
      <c r="S328" s="271">
        <v>6.31</v>
      </c>
      <c r="T328" s="30">
        <f>ROUND((L328*I323+1.3*L328*K323+S328*H323),4)</f>
        <v>1513.4475</v>
      </c>
      <c r="U328" s="30">
        <f>ROUND((M328*0.9*I323+1.3*M328*0.9*K323+S328*H323),4)</f>
        <v>1624.2383</v>
      </c>
      <c r="V328" s="30">
        <f>ROUND((M328*I323+1.3*M328*K323+S328*H323),4)</f>
        <v>1762.6424999999999</v>
      </c>
      <c r="W328" s="30">
        <f>ROUND((L328*J323+1.3*L328*N323+S328*G323),4)</f>
        <v>128.85</v>
      </c>
      <c r="X328" s="30">
        <f>ROUND((M328*0.9*J323+1.3*M328*0.9*N323+S328*G323),4)</f>
        <v>137.733</v>
      </c>
      <c r="Y328" s="30">
        <f>ROUND((M328*J323+1.3*M328*N323+S328*G323),4)</f>
        <v>148.83000000000001</v>
      </c>
      <c r="Z328" s="257">
        <f>ROUND((P323*T328*F323*O323/1000000),4)</f>
        <v>0.27239999999999998</v>
      </c>
      <c r="AA328" s="257">
        <f>ROUND((Q323*U328*F323*O323/1000000),4)</f>
        <v>0.1462</v>
      </c>
      <c r="AB328" s="257">
        <f>ROUND((R323*V328*F323*O323/1000000),4)</f>
        <v>0.15859999999999999</v>
      </c>
      <c r="AC328" s="258" t="s">
        <v>157</v>
      </c>
      <c r="AD328" s="259" t="s">
        <v>153</v>
      </c>
      <c r="AE328" s="34">
        <f>ROUND((((X328*E323)/1800)),4)</f>
        <v>7.6499999999999999E-2</v>
      </c>
      <c r="AF328" s="34">
        <f>ROUND(((Z328+AA328+AB328)),4)</f>
        <v>0.57720000000000005</v>
      </c>
    </row>
    <row r="329" spans="1:34" s="61" customFormat="1" ht="15" customHeight="1" x14ac:dyDescent="0.25">
      <c r="A329" s="289"/>
      <c r="B329" s="1478" t="s">
        <v>568</v>
      </c>
      <c r="C329" s="274">
        <v>7</v>
      </c>
      <c r="D329" s="38" t="s">
        <v>560</v>
      </c>
      <c r="E329" s="38">
        <v>1</v>
      </c>
      <c r="F329" s="38">
        <v>1</v>
      </c>
      <c r="G329" s="38">
        <v>6</v>
      </c>
      <c r="H329" s="38">
        <v>60</v>
      </c>
      <c r="I329" s="38">
        <f>(8-1-0.75*2)*60*F329-K329-8*0.12*60</f>
        <v>57.900000000000006</v>
      </c>
      <c r="J329" s="38">
        <v>14</v>
      </c>
      <c r="K329" s="38">
        <f>(8-1-0.75*2)*0.65*60*F329</f>
        <v>214.5</v>
      </c>
      <c r="L329" s="38">
        <v>10.16</v>
      </c>
      <c r="M329" s="38">
        <v>10.16</v>
      </c>
      <c r="N329" s="38">
        <v>10</v>
      </c>
      <c r="O329" s="38">
        <f>E329/F329</f>
        <v>1</v>
      </c>
      <c r="P329" s="30">
        <v>180</v>
      </c>
      <c r="Q329" s="30">
        <v>90</v>
      </c>
      <c r="R329" s="256">
        <v>90</v>
      </c>
      <c r="S329" s="275">
        <v>1.99</v>
      </c>
      <c r="T329" s="38">
        <f>ROUND((L329*I329+1.3*L329*K329+S329*H329),4)</f>
        <v>3540.78</v>
      </c>
      <c r="U329" s="38">
        <f>ROUND((M329*I329+1.3*M329*K329+S329*H329),4)</f>
        <v>3540.78</v>
      </c>
      <c r="V329" s="38">
        <f>ROUND((M329*I329+1.3*M329*K329+S329*H329),4)</f>
        <v>3540.78</v>
      </c>
      <c r="W329" s="38">
        <f>ROUND((L329*J329+1.3*L329*N329+S329*G329),4)</f>
        <v>286.26</v>
      </c>
      <c r="X329" s="38">
        <f>ROUND((M329*J329+1.3*M329*N329+S329*G329),4)</f>
        <v>286.26</v>
      </c>
      <c r="Y329" s="38">
        <f>ROUND((M329*J329+1.3*M329*N329+S329*G329),4)</f>
        <v>286.26</v>
      </c>
      <c r="Z329" s="276">
        <f>ROUND((P329*T329*F329*O329/1000000),4)</f>
        <v>0.63729999999999998</v>
      </c>
      <c r="AA329" s="276">
        <f>ROUND((Q329*U329*F329*O329/1000000),4)</f>
        <v>0.31869999999999998</v>
      </c>
      <c r="AB329" s="276">
        <f>ROUND((R329*V329*F329*O329/1000000),4)</f>
        <v>0.31869999999999998</v>
      </c>
      <c r="AC329" s="277" t="s">
        <v>165</v>
      </c>
      <c r="AD329" s="278" t="s">
        <v>144</v>
      </c>
      <c r="AE329" s="40">
        <f>ROUND((((X329*E329)/1800)*0.8),4)</f>
        <v>0.12720000000000001</v>
      </c>
      <c r="AF329" s="40">
        <f>ROUND(((Z329+AA329+AB329)*0.8),4)</f>
        <v>1.0198</v>
      </c>
    </row>
    <row r="330" spans="1:34" s="61" customFormat="1" ht="15" customHeight="1" x14ac:dyDescent="0.25">
      <c r="A330" s="289"/>
      <c r="B330" s="1634"/>
      <c r="C330" s="39"/>
      <c r="D330" s="39"/>
      <c r="E330" s="39"/>
      <c r="F330" s="39"/>
      <c r="G330" s="39"/>
      <c r="H330" s="39"/>
      <c r="I330" s="39"/>
      <c r="J330" s="39"/>
      <c r="K330" s="39"/>
      <c r="L330" s="119"/>
      <c r="M330" s="119"/>
      <c r="N330" s="39"/>
      <c r="O330" s="39"/>
      <c r="P330" s="39"/>
      <c r="Q330" s="39"/>
      <c r="R330" s="39"/>
      <c r="S330" s="281"/>
      <c r="T330" s="39"/>
      <c r="U330" s="39"/>
      <c r="V330" s="39"/>
      <c r="W330" s="39"/>
      <c r="X330" s="39"/>
      <c r="Y330" s="39"/>
      <c r="Z330" s="39"/>
      <c r="AA330" s="39"/>
      <c r="AB330" s="39"/>
      <c r="AC330" s="277" t="s">
        <v>166</v>
      </c>
      <c r="AD330" s="278" t="s">
        <v>167</v>
      </c>
      <c r="AE330" s="40">
        <f>ROUND((((X329*E329)/1800)*0.13),4)</f>
        <v>2.07E-2</v>
      </c>
      <c r="AF330" s="40">
        <f>ROUND(((Z329+AA329+AB329)*0.13),4)</f>
        <v>0.16569999999999999</v>
      </c>
    </row>
    <row r="331" spans="1:34" s="61" customFormat="1" ht="15" customHeight="1" x14ac:dyDescent="0.25">
      <c r="A331" s="289"/>
      <c r="B331" s="1634" t="s">
        <v>591</v>
      </c>
      <c r="C331" s="283"/>
      <c r="D331" s="283"/>
      <c r="E331" s="39"/>
      <c r="F331" s="39"/>
      <c r="G331" s="39"/>
      <c r="H331" s="39"/>
      <c r="I331" s="39"/>
      <c r="J331" s="39"/>
      <c r="K331" s="39"/>
      <c r="L331" s="40">
        <v>0.8</v>
      </c>
      <c r="M331" s="40">
        <v>0.98</v>
      </c>
      <c r="N331" s="39"/>
      <c r="O331" s="39"/>
      <c r="P331" s="39"/>
      <c r="Q331" s="39"/>
      <c r="R331" s="39"/>
      <c r="S331" s="284">
        <v>0.39</v>
      </c>
      <c r="T331" s="38">
        <f>ROUND((L331*I329+1.3*L331*K329+S331*H329),4)</f>
        <v>292.8</v>
      </c>
      <c r="U331" s="38">
        <f>ROUND((M331*0.9*I329+1.3*M331*0.9*K329+S331*H329),4)</f>
        <v>320.4135</v>
      </c>
      <c r="V331" s="38">
        <f>ROUND((M331*I329+1.3*M331*K329+S331*H329),4)</f>
        <v>353.41500000000002</v>
      </c>
      <c r="W331" s="38">
        <f>ROUND((L331*J329+1.3*L331*N329+S331*G329),4)</f>
        <v>23.94</v>
      </c>
      <c r="X331" s="38">
        <f>ROUND((M331*0.9*J329+1.3*M331*0.9*N329+S331*G329),4)</f>
        <v>26.154</v>
      </c>
      <c r="Y331" s="38">
        <f>ROUND((M331*J329+1.3*M331*N329+S331*G329),4)</f>
        <v>28.8</v>
      </c>
      <c r="Z331" s="276">
        <f>ROUND((P329*T331*F329*O329/1000000),4)</f>
        <v>5.2699999999999997E-2</v>
      </c>
      <c r="AA331" s="276">
        <f>ROUND((Q329*U331*F329*O329/1000000),4)</f>
        <v>2.8799999999999999E-2</v>
      </c>
      <c r="AB331" s="276">
        <f>ROUND((R329*V331*F329*O329/1000000),4)</f>
        <v>3.1800000000000002E-2</v>
      </c>
      <c r="AC331" s="277" t="s">
        <v>547</v>
      </c>
      <c r="AD331" s="278" t="s">
        <v>169</v>
      </c>
      <c r="AE331" s="40">
        <f>ROUND((((X331*E329)/1800)),4)</f>
        <v>1.4500000000000001E-2</v>
      </c>
      <c r="AF331" s="40">
        <f>ROUND(((Z331+AA331+AB331)),5)</f>
        <v>0.1133</v>
      </c>
    </row>
    <row r="332" spans="1:34" s="61" customFormat="1" ht="15" customHeight="1" x14ac:dyDescent="0.25">
      <c r="A332" s="289"/>
      <c r="B332" s="1634"/>
      <c r="C332" s="39"/>
      <c r="D332" s="39"/>
      <c r="E332" s="39"/>
      <c r="F332" s="39"/>
      <c r="G332" s="39"/>
      <c r="H332" s="39"/>
      <c r="I332" s="39"/>
      <c r="J332" s="39"/>
      <c r="K332" s="39"/>
      <c r="L332" s="40">
        <v>1.79</v>
      </c>
      <c r="M332" s="40">
        <v>2.15</v>
      </c>
      <c r="N332" s="39"/>
      <c r="O332" s="39"/>
      <c r="P332" s="39"/>
      <c r="Q332" s="39"/>
      <c r="R332" s="39"/>
      <c r="S332" s="285">
        <v>1.24</v>
      </c>
      <c r="T332" s="38">
        <f>ROUND((L332*I329+1.3*L332*K329+S332*H329),4)</f>
        <v>677.1825</v>
      </c>
      <c r="U332" s="38">
        <f>ROUND((M332*0.9*I329+1.3*M332*0.9*K329+S332*H329),4)</f>
        <v>726.01130000000001</v>
      </c>
      <c r="V332" s="38">
        <f>ROUND((M332*I329+1.3*M332*K329+S332*H329),4)</f>
        <v>798.41250000000002</v>
      </c>
      <c r="W332" s="38">
        <f>ROUND((L332*J329+1.3*L332*N329+S332*G329),4)</f>
        <v>55.77</v>
      </c>
      <c r="X332" s="38">
        <f>ROUND((M332*0.9*J329+1.3*M332*0.9*N329+S332*G329),4)</f>
        <v>59.685000000000002</v>
      </c>
      <c r="Y332" s="38">
        <f>ROUND((M332*J329+1.3*N329+S332*G329),4)</f>
        <v>50.54</v>
      </c>
      <c r="Z332" s="276">
        <f>ROUND((P329*T332*F329*O329/1000000),4)</f>
        <v>0.12189999999999999</v>
      </c>
      <c r="AA332" s="276">
        <f>ROUND((Q329*U332*F329*O329/1000000),4)</f>
        <v>6.5299999999999997E-2</v>
      </c>
      <c r="AB332" s="276">
        <f>ROUND((R329*V332*F329*O329/1000000),4)</f>
        <v>7.1900000000000006E-2</v>
      </c>
      <c r="AC332" s="277" t="s">
        <v>548</v>
      </c>
      <c r="AD332" s="278" t="s">
        <v>549</v>
      </c>
      <c r="AE332" s="40">
        <f>ROUND((((X332*E329)/1800)),4)</f>
        <v>3.32E-2</v>
      </c>
      <c r="AF332" s="40">
        <f>ROUND(((Z332+AA332+AB332)),4)</f>
        <v>0.2591</v>
      </c>
    </row>
    <row r="333" spans="1:34" s="61" customFormat="1" ht="15" customHeight="1" x14ac:dyDescent="0.25">
      <c r="A333" s="289"/>
      <c r="B333" s="280"/>
      <c r="C333" s="39"/>
      <c r="D333" s="39"/>
      <c r="E333" s="39"/>
      <c r="F333" s="39"/>
      <c r="G333" s="39"/>
      <c r="H333" s="39"/>
      <c r="I333" s="39"/>
      <c r="J333" s="39"/>
      <c r="K333" s="39"/>
      <c r="L333" s="40">
        <v>1.1299999999999999</v>
      </c>
      <c r="M333" s="40">
        <v>1.7</v>
      </c>
      <c r="N333" s="39"/>
      <c r="O333" s="39"/>
      <c r="P333" s="39"/>
      <c r="Q333" s="39"/>
      <c r="R333" s="39"/>
      <c r="S333" s="285">
        <v>0.26</v>
      </c>
      <c r="T333" s="38">
        <f>ROUND((L333*I329+1.3*L333*K329+S333*H329),4)</f>
        <v>396.1275</v>
      </c>
      <c r="U333" s="38">
        <f>ROUND((M333*0.9*I329+1.3*M333*0.9*K329+S333*H329),4)</f>
        <v>530.82749999999999</v>
      </c>
      <c r="V333" s="38">
        <f>ROUND((M333*I329+1.3*M333*K329+S333*H329),4)</f>
        <v>588.07500000000005</v>
      </c>
      <c r="W333" s="38">
        <f>ROUND((L333*J329+1.3*L333*N329+S333*G329),4)</f>
        <v>32.07</v>
      </c>
      <c r="X333" s="38">
        <f>ROUND((M333*0.9*J329+1.3*M333*0.9*N329+S333*G329),4)</f>
        <v>42.87</v>
      </c>
      <c r="Y333" s="38">
        <f>ROUND((M333*J329+1.3*M333*N329+S333*G329),4)</f>
        <v>47.46</v>
      </c>
      <c r="Z333" s="276">
        <f>ROUND((P329*T333*F329*O329/1000000),4)</f>
        <v>7.1300000000000002E-2</v>
      </c>
      <c r="AA333" s="276">
        <f>ROUND((Q329*U333*F329*O329/1000000),4)</f>
        <v>4.7800000000000002E-2</v>
      </c>
      <c r="AB333" s="276">
        <f>ROUND((R329*V333*F329*O329/1000000),4)</f>
        <v>5.2900000000000003E-2</v>
      </c>
      <c r="AC333" s="277" t="s">
        <v>172</v>
      </c>
      <c r="AD333" s="278" t="s">
        <v>173</v>
      </c>
      <c r="AE333" s="40">
        <f>ROUND((((X333*E329)/1800)),4)</f>
        <v>2.3800000000000002E-2</v>
      </c>
      <c r="AF333" s="40">
        <f>ROUND(((Z333+AA333+AB333)),4)</f>
        <v>0.17199999999999999</v>
      </c>
    </row>
    <row r="334" spans="1:34" s="61" customFormat="1" ht="15" customHeight="1" x14ac:dyDescent="0.25">
      <c r="A334" s="289"/>
      <c r="B334" s="286"/>
      <c r="C334" s="119"/>
      <c r="D334" s="119"/>
      <c r="E334" s="119"/>
      <c r="F334" s="119"/>
      <c r="G334" s="119"/>
      <c r="H334" s="119"/>
      <c r="I334" s="119"/>
      <c r="J334" s="119"/>
      <c r="K334" s="119"/>
      <c r="L334" s="40">
        <v>5.3</v>
      </c>
      <c r="M334" s="40">
        <v>6.47</v>
      </c>
      <c r="N334" s="119"/>
      <c r="O334" s="119"/>
      <c r="P334" s="119"/>
      <c r="Q334" s="119"/>
      <c r="R334" s="119"/>
      <c r="S334" s="285">
        <v>9.92</v>
      </c>
      <c r="T334" s="38">
        <f>ROUND((L334*I329+1.3*L334*K329+S334*H329),4)</f>
        <v>2379.9749999999999</v>
      </c>
      <c r="U334" s="38">
        <f>ROUND((M334*0.9*I329+1.3*M334*0.9*K329+S334*H329),4)</f>
        <v>2556.0953</v>
      </c>
      <c r="V334" s="38">
        <f>ROUND((M334*I329+1.3*M334*K329+S334*H329),4)</f>
        <v>2773.9724999999999</v>
      </c>
      <c r="W334" s="38">
        <f>ROUND((L334*J329+1.3*L334*N329+S334*G329),4)</f>
        <v>202.62</v>
      </c>
      <c r="X334" s="38">
        <f>ROUND((M334*0.9*J329+1.3*M334*0.9*N329+S334*G329),4)</f>
        <v>216.74100000000001</v>
      </c>
      <c r="Y334" s="38">
        <f>ROUND((M334*J329+1.3*M334*N329+S334*G329),4)</f>
        <v>234.21</v>
      </c>
      <c r="Z334" s="276">
        <f>ROUND((P329*T334*F329*O329/1000000),4)</f>
        <v>0.4284</v>
      </c>
      <c r="AA334" s="276">
        <f>ROUND((Q329*U334*F329*O329/1000000),4)</f>
        <v>0.23</v>
      </c>
      <c r="AB334" s="276">
        <f>ROUND((R329*V334*F329*O329/1000000),4)</f>
        <v>0.24970000000000001</v>
      </c>
      <c r="AC334" s="277" t="s">
        <v>157</v>
      </c>
      <c r="AD334" s="278" t="s">
        <v>153</v>
      </c>
      <c r="AE334" s="40">
        <f>ROUND((((X334*E329)/1800)),4)</f>
        <v>0.12039999999999999</v>
      </c>
      <c r="AF334" s="40">
        <f>ROUND(((Z334+AA334+AB334)),4)</f>
        <v>0.90810000000000002</v>
      </c>
    </row>
    <row r="335" spans="1:34" s="61" customFormat="1" ht="15" customHeight="1" x14ac:dyDescent="0.25">
      <c r="A335" s="289"/>
      <c r="B335" s="274" t="s">
        <v>606</v>
      </c>
      <c r="C335" s="274">
        <v>7</v>
      </c>
      <c r="D335" s="38" t="s">
        <v>560</v>
      </c>
      <c r="E335" s="38">
        <v>1</v>
      </c>
      <c r="F335" s="38">
        <v>2</v>
      </c>
      <c r="G335" s="38">
        <v>6</v>
      </c>
      <c r="H335" s="38">
        <v>60</v>
      </c>
      <c r="I335" s="38">
        <f>(8-1-0.75*2)*60*F335-K335-8*0.12*60</f>
        <v>173.4</v>
      </c>
      <c r="J335" s="38">
        <v>14</v>
      </c>
      <c r="K335" s="38">
        <f>(8-1-0.75*2)*0.65*60*F335</f>
        <v>429</v>
      </c>
      <c r="L335" s="38">
        <v>10.16</v>
      </c>
      <c r="M335" s="38">
        <v>10.16</v>
      </c>
      <c r="N335" s="38">
        <v>10</v>
      </c>
      <c r="O335" s="38">
        <f>E335/F335</f>
        <v>0.5</v>
      </c>
      <c r="P335" s="30">
        <v>180</v>
      </c>
      <c r="Q335" s="30">
        <v>90</v>
      </c>
      <c r="R335" s="256">
        <v>90</v>
      </c>
      <c r="S335" s="275">
        <v>1.99</v>
      </c>
      <c r="T335" s="38">
        <f>ROUND((L335*I335+1.3*L335*K335+S335*H335),4)</f>
        <v>7547.3760000000002</v>
      </c>
      <c r="U335" s="38">
        <f>ROUND((M335*I335+1.3*M335*K335+S335*H335),4)</f>
        <v>7547.3760000000002</v>
      </c>
      <c r="V335" s="38">
        <f>ROUND((M335*I335+1.3*M335*K335+S335*H335),4)</f>
        <v>7547.3760000000002</v>
      </c>
      <c r="W335" s="38">
        <f>ROUND((L335*J335+1.3*L335*N335+S335*G335),4)</f>
        <v>286.26</v>
      </c>
      <c r="X335" s="38">
        <f>ROUND((M335*J335+1.3*M335*N335+S335*G335),4)</f>
        <v>286.26</v>
      </c>
      <c r="Y335" s="38">
        <f>ROUND((M335*J335+1.3*M335*N335+S335*G335),4)</f>
        <v>286.26</v>
      </c>
      <c r="Z335" s="276">
        <f>ROUND((P335*T335*F335*O335/1000000),4)</f>
        <v>1.3585</v>
      </c>
      <c r="AA335" s="276">
        <f>ROUND((Q335*U335*F335*O335/1000000),4)</f>
        <v>0.67930000000000001</v>
      </c>
      <c r="AB335" s="276">
        <f>ROUND((R335*V335*F335*O335/1000000),4)</f>
        <v>0.67930000000000001</v>
      </c>
      <c r="AC335" s="277" t="s">
        <v>165</v>
      </c>
      <c r="AD335" s="278" t="s">
        <v>144</v>
      </c>
      <c r="AE335" s="40">
        <f>ROUND((((X335*E335)/1800)*0.8),4)</f>
        <v>0.12720000000000001</v>
      </c>
      <c r="AF335" s="40">
        <f>ROUND(((Z335+AA335+AB335)*0.8),4)</f>
        <v>2.1737000000000002</v>
      </c>
    </row>
    <row r="336" spans="1:34" s="61" customFormat="1" ht="15" customHeight="1" x14ac:dyDescent="0.25">
      <c r="A336" s="289"/>
      <c r="B336" s="1634" t="s">
        <v>607</v>
      </c>
      <c r="C336" s="39"/>
      <c r="D336" s="39"/>
      <c r="E336" s="39"/>
      <c r="F336" s="39"/>
      <c r="G336" s="39"/>
      <c r="H336" s="39"/>
      <c r="I336" s="39"/>
      <c r="J336" s="39"/>
      <c r="K336" s="39"/>
      <c r="L336" s="119"/>
      <c r="M336" s="119"/>
      <c r="N336" s="39"/>
      <c r="O336" s="39"/>
      <c r="P336" s="39"/>
      <c r="Q336" s="39"/>
      <c r="R336" s="39"/>
      <c r="S336" s="281"/>
      <c r="T336" s="39"/>
      <c r="U336" s="39"/>
      <c r="V336" s="39"/>
      <c r="W336" s="39"/>
      <c r="X336" s="39"/>
      <c r="Y336" s="39"/>
      <c r="Z336" s="39"/>
      <c r="AA336" s="39"/>
      <c r="AB336" s="39"/>
      <c r="AC336" s="277" t="s">
        <v>166</v>
      </c>
      <c r="AD336" s="278" t="s">
        <v>167</v>
      </c>
      <c r="AE336" s="40">
        <f>ROUND((((X335*E335)/1800)*0.13),4)</f>
        <v>2.07E-2</v>
      </c>
      <c r="AF336" s="40">
        <f>ROUND(((Z335+AA335+AB335)*0.13),4)</f>
        <v>0.35320000000000001</v>
      </c>
    </row>
    <row r="337" spans="1:34" s="61" customFormat="1" ht="15" customHeight="1" x14ac:dyDescent="0.25">
      <c r="A337" s="289"/>
      <c r="B337" s="1634"/>
      <c r="C337" s="283"/>
      <c r="D337" s="283"/>
      <c r="E337" s="39"/>
      <c r="F337" s="39"/>
      <c r="G337" s="39"/>
      <c r="H337" s="39"/>
      <c r="I337" s="39"/>
      <c r="J337" s="39"/>
      <c r="K337" s="39"/>
      <c r="L337" s="40">
        <v>0.8</v>
      </c>
      <c r="M337" s="40">
        <v>0.98</v>
      </c>
      <c r="N337" s="39"/>
      <c r="O337" s="39"/>
      <c r="P337" s="39"/>
      <c r="Q337" s="39"/>
      <c r="R337" s="39"/>
      <c r="S337" s="284">
        <v>0.39</v>
      </c>
      <c r="T337" s="38">
        <f>ROUND((L337*I335+1.3*L337*K335+S337*H335),4)</f>
        <v>608.28</v>
      </c>
      <c r="U337" s="38">
        <f>ROUND((M337*0.9*I335+1.3*M337*0.9*K335+S337*H335),4)</f>
        <v>668.23019999999997</v>
      </c>
      <c r="V337" s="38">
        <f>ROUND((M337*I335+1.3*M337*K335+S337*H335),4)</f>
        <v>739.87800000000004</v>
      </c>
      <c r="W337" s="38">
        <f>ROUND((L337*J335+1.3*L337*N335+S337*G335),4)</f>
        <v>23.94</v>
      </c>
      <c r="X337" s="38">
        <f>ROUND((M337*0.9*J335+1.3*M337*0.9*N335+S337*G335),4)</f>
        <v>26.154</v>
      </c>
      <c r="Y337" s="38">
        <f>ROUND((M337*J335+1.3*M337*N335+S337*G335),4)</f>
        <v>28.8</v>
      </c>
      <c r="Z337" s="276">
        <f>ROUND((P335*T337*F335*O335/1000000),4)</f>
        <v>0.1095</v>
      </c>
      <c r="AA337" s="276">
        <f>ROUND((Q335*U337*F335*O335/1000000),4)</f>
        <v>6.0100000000000001E-2</v>
      </c>
      <c r="AB337" s="276">
        <f>ROUND((R335*V337*F335*O335/1000000),4)</f>
        <v>6.6600000000000006E-2</v>
      </c>
      <c r="AC337" s="277" t="s">
        <v>547</v>
      </c>
      <c r="AD337" s="278" t="s">
        <v>169</v>
      </c>
      <c r="AE337" s="40">
        <f>ROUND((((X337*E335)/1800)),4)</f>
        <v>1.4500000000000001E-2</v>
      </c>
      <c r="AF337" s="40">
        <f>ROUND(((Z337+AA337+AB337)),5)</f>
        <v>0.23619999999999999</v>
      </c>
    </row>
    <row r="338" spans="1:34" s="61" customFormat="1" ht="15" customHeight="1" x14ac:dyDescent="0.25">
      <c r="A338" s="289"/>
      <c r="B338" s="288"/>
      <c r="C338" s="39"/>
      <c r="D338" s="39"/>
      <c r="E338" s="39"/>
      <c r="F338" s="39"/>
      <c r="G338" s="39"/>
      <c r="H338" s="39"/>
      <c r="I338" s="39"/>
      <c r="J338" s="39"/>
      <c r="K338" s="39"/>
      <c r="L338" s="40">
        <v>1.79</v>
      </c>
      <c r="M338" s="40">
        <v>2.15</v>
      </c>
      <c r="N338" s="39"/>
      <c r="O338" s="39"/>
      <c r="P338" s="39"/>
      <c r="Q338" s="39"/>
      <c r="R338" s="39"/>
      <c r="S338" s="285">
        <v>1.24</v>
      </c>
      <c r="T338" s="38">
        <f>ROUND((L338*I335+1.3*L338*K335+S338*H335),4)</f>
        <v>1383.069</v>
      </c>
      <c r="U338" s="38">
        <f>ROUND((M338*0.9*I335+1.3*M338*0.9*K335+S338*H335),4)</f>
        <v>1489.0785000000001</v>
      </c>
      <c r="V338" s="38">
        <f>ROUND((M338*I335+1.3*M338*K335+S338*H335),4)</f>
        <v>1646.2650000000001</v>
      </c>
      <c r="W338" s="38">
        <f>ROUND((L338*J335+1.3*L338*N335+S338*G335),4)</f>
        <v>55.77</v>
      </c>
      <c r="X338" s="38">
        <f>ROUND((M338*0.9*J335+1.3*M338*0.9*N335+S338*G335),4)</f>
        <v>59.685000000000002</v>
      </c>
      <c r="Y338" s="38">
        <f>ROUND((M338*J335+1.3*N335+S338*G335),4)</f>
        <v>50.54</v>
      </c>
      <c r="Z338" s="276">
        <f>ROUND((P335*T338*F335*O335/1000000),4)</f>
        <v>0.249</v>
      </c>
      <c r="AA338" s="276">
        <f>ROUND((Q335*U338*F335*O335/1000000),4)</f>
        <v>0.13400000000000001</v>
      </c>
      <c r="AB338" s="276">
        <f>ROUND((R335*V338*F335*O335/1000000),4)</f>
        <v>0.1482</v>
      </c>
      <c r="AC338" s="277" t="s">
        <v>548</v>
      </c>
      <c r="AD338" s="278" t="s">
        <v>549</v>
      </c>
      <c r="AE338" s="40">
        <f>ROUND((((X338*E335)/1800)),4)</f>
        <v>3.32E-2</v>
      </c>
      <c r="AF338" s="40">
        <f>ROUND(((Z338+AA338+AB338)),4)</f>
        <v>0.53120000000000001</v>
      </c>
    </row>
    <row r="339" spans="1:34" s="61" customFormat="1" ht="15" customHeight="1" x14ac:dyDescent="0.25">
      <c r="A339" s="289"/>
      <c r="B339" s="280"/>
      <c r="C339" s="39"/>
      <c r="D339" s="39"/>
      <c r="E339" s="39"/>
      <c r="F339" s="39"/>
      <c r="G339" s="39"/>
      <c r="H339" s="39"/>
      <c r="I339" s="39"/>
      <c r="J339" s="39"/>
      <c r="K339" s="39"/>
      <c r="L339" s="40">
        <v>1.1299999999999999</v>
      </c>
      <c r="M339" s="40">
        <v>1.7</v>
      </c>
      <c r="N339" s="39"/>
      <c r="O339" s="39"/>
      <c r="P339" s="39"/>
      <c r="Q339" s="39"/>
      <c r="R339" s="39"/>
      <c r="S339" s="285">
        <v>0.26</v>
      </c>
      <c r="T339" s="38">
        <f>ROUND((L339*I335+1.3*L339*K335+S339*H335),4)</f>
        <v>841.74300000000005</v>
      </c>
      <c r="U339" s="38">
        <f>ROUND((M339*0.9*I335+1.3*M339*0.9*K335+S339*H335),4)</f>
        <v>1134.183</v>
      </c>
      <c r="V339" s="38">
        <f>ROUND((M339*I335+1.3*M339*K335+S339*H335),4)</f>
        <v>1258.47</v>
      </c>
      <c r="W339" s="38">
        <f>ROUND((L339*J335+1.3*L339*N335+S339*G335),4)</f>
        <v>32.07</v>
      </c>
      <c r="X339" s="38">
        <f>ROUND((M339*0.9*J335+1.3*M339*0.9*N335+S339*G335),4)</f>
        <v>42.87</v>
      </c>
      <c r="Y339" s="38">
        <f>ROUND((M339*J335+1.3*M339*N335+S339*G335),4)</f>
        <v>47.46</v>
      </c>
      <c r="Z339" s="276">
        <f>ROUND((P335*T339*F335*O335/1000000),4)</f>
        <v>0.1515</v>
      </c>
      <c r="AA339" s="276">
        <f>ROUND((Q335*U339*F335*O335/1000000),4)</f>
        <v>0.1021</v>
      </c>
      <c r="AB339" s="276">
        <f>ROUND((R335*V339*F335*O335/1000000),4)</f>
        <v>0.1133</v>
      </c>
      <c r="AC339" s="277" t="s">
        <v>172</v>
      </c>
      <c r="AD339" s="278" t="s">
        <v>173</v>
      </c>
      <c r="AE339" s="40">
        <f>ROUND((((X339*E335)/1800)),4)</f>
        <v>2.3800000000000002E-2</v>
      </c>
      <c r="AF339" s="40">
        <f>ROUND(((Z339+AA339+AB339)),4)</f>
        <v>0.3669</v>
      </c>
    </row>
    <row r="340" spans="1:34" s="61" customFormat="1" ht="15" customHeight="1" x14ac:dyDescent="0.25">
      <c r="A340" s="289"/>
      <c r="B340" s="286"/>
      <c r="C340" s="119"/>
      <c r="D340" s="119"/>
      <c r="E340" s="119"/>
      <c r="F340" s="119"/>
      <c r="G340" s="119"/>
      <c r="H340" s="119"/>
      <c r="I340" s="119"/>
      <c r="J340" s="119"/>
      <c r="K340" s="119"/>
      <c r="L340" s="40">
        <v>5.3</v>
      </c>
      <c r="M340" s="40">
        <v>6.47</v>
      </c>
      <c r="N340" s="119"/>
      <c r="O340" s="119"/>
      <c r="P340" s="119"/>
      <c r="Q340" s="119"/>
      <c r="R340" s="119"/>
      <c r="S340" s="285">
        <v>9.92</v>
      </c>
      <c r="T340" s="38">
        <f>ROUND((L340*I335+1.3*L340*K335+S340*H335),4)</f>
        <v>4470.03</v>
      </c>
      <c r="U340" s="38">
        <f>ROUND((M340*0.9*I335+1.3*M340*0.9*K335+S340*H335),4)</f>
        <v>4852.3953000000001</v>
      </c>
      <c r="V340" s="38">
        <f>ROUND((M340*I335+1.3*M340*K335+S340*H335),4)</f>
        <v>5325.4170000000004</v>
      </c>
      <c r="W340" s="38">
        <f>ROUND((L340*J335+1.3*L340*N335+S340*G335),4)</f>
        <v>202.62</v>
      </c>
      <c r="X340" s="38">
        <f>ROUND((M340*0.9*J335+1.3*M340*0.9*N335+S340*G335),4)</f>
        <v>216.74100000000001</v>
      </c>
      <c r="Y340" s="38">
        <f>ROUND((M340*J335+1.3*M340*N335+S340*G335),4)</f>
        <v>234.21</v>
      </c>
      <c r="Z340" s="276">
        <f>ROUND((P335*T340*F335*O335/1000000),4)</f>
        <v>0.80459999999999998</v>
      </c>
      <c r="AA340" s="276">
        <f>ROUND((Q335*U340*F335*O335/1000000),4)</f>
        <v>0.43669999999999998</v>
      </c>
      <c r="AB340" s="276">
        <f>ROUND((R335*V340*F335*O335/1000000),4)</f>
        <v>0.4793</v>
      </c>
      <c r="AC340" s="277" t="s">
        <v>157</v>
      </c>
      <c r="AD340" s="278" t="s">
        <v>153</v>
      </c>
      <c r="AE340" s="40">
        <f>ROUND((((X340*E335)/1800)),4)</f>
        <v>0.12039999999999999</v>
      </c>
      <c r="AF340" s="40">
        <f>ROUND(((Z340+AA340+AB340)),4)</f>
        <v>1.7205999999999999</v>
      </c>
    </row>
    <row r="341" spans="1:34" s="61" customFormat="1" ht="15" customHeight="1" x14ac:dyDescent="0.25">
      <c r="A341" s="289"/>
      <c r="B341" s="274" t="s">
        <v>592</v>
      </c>
      <c r="C341" s="274">
        <v>6</v>
      </c>
      <c r="D341" s="38" t="s">
        <v>556</v>
      </c>
      <c r="E341" s="38">
        <v>1</v>
      </c>
      <c r="F341" s="38">
        <v>4</v>
      </c>
      <c r="G341" s="38">
        <v>6</v>
      </c>
      <c r="H341" s="38">
        <v>60</v>
      </c>
      <c r="I341" s="38">
        <f>(8-1-0.75*2)*60*F341-K341-8*0.12*60</f>
        <v>404.4</v>
      </c>
      <c r="J341" s="38">
        <v>14</v>
      </c>
      <c r="K341" s="38">
        <f>(8-1-0.75*2)*0.65*60*F341</f>
        <v>858</v>
      </c>
      <c r="L341" s="38">
        <v>6.47</v>
      </c>
      <c r="M341" s="38">
        <v>6.47</v>
      </c>
      <c r="N341" s="38">
        <v>10</v>
      </c>
      <c r="O341" s="38">
        <f>E341/F341</f>
        <v>0.25</v>
      </c>
      <c r="P341" s="38">
        <v>180</v>
      </c>
      <c r="Q341" s="38">
        <v>90</v>
      </c>
      <c r="R341" s="275">
        <v>90</v>
      </c>
      <c r="S341" s="275">
        <v>1.27</v>
      </c>
      <c r="T341" s="38">
        <f>ROUND((L341*I341+1.3*L341*K341+S341*H341),4)</f>
        <v>9909.3060000000005</v>
      </c>
      <c r="U341" s="38">
        <f>ROUND((M341*I341+1.3*M341*K341+S341*H341),4)</f>
        <v>9909.3060000000005</v>
      </c>
      <c r="V341" s="38">
        <f>ROUND((M341*I341+1.3*M341*K341+S341*H341),4)</f>
        <v>9909.3060000000005</v>
      </c>
      <c r="W341" s="38">
        <f>ROUND((L341*J341+1.3*L341*N341+S341*G341),4)</f>
        <v>182.31</v>
      </c>
      <c r="X341" s="38">
        <f>ROUND((M341*J341+1.3*M341*N341+S341*G341),4)</f>
        <v>182.31</v>
      </c>
      <c r="Y341" s="38">
        <f>ROUND((M341*J341+1.3*M341*N341+S341*G341),4)</f>
        <v>182.31</v>
      </c>
      <c r="Z341" s="276">
        <f>ROUND((P341*T341*F341*O341/1000000),4)</f>
        <v>1.7837000000000001</v>
      </c>
      <c r="AA341" s="276">
        <f>ROUND((Q341*U341*F341*O341/1000000),4)</f>
        <v>0.89180000000000004</v>
      </c>
      <c r="AB341" s="276">
        <f>ROUND((R341*V341*F341*O341/1000000),4)</f>
        <v>0.89180000000000004</v>
      </c>
      <c r="AC341" s="277" t="s">
        <v>165</v>
      </c>
      <c r="AD341" s="278" t="s">
        <v>144</v>
      </c>
      <c r="AE341" s="40">
        <f>ROUND((((X341*E341)/1800)*0.8),4)</f>
        <v>8.1000000000000003E-2</v>
      </c>
      <c r="AF341" s="40">
        <f>ROUND(((Z341+AA341+AB341)*0.8),4)</f>
        <v>2.8538000000000001</v>
      </c>
      <c r="AG341" s="254"/>
      <c r="AH341" s="254"/>
    </row>
    <row r="342" spans="1:34" s="61" customFormat="1" ht="15" customHeight="1" x14ac:dyDescent="0.25">
      <c r="A342" s="289"/>
      <c r="B342" s="1634" t="s">
        <v>593</v>
      </c>
      <c r="C342" s="39"/>
      <c r="D342" s="39"/>
      <c r="E342" s="39"/>
      <c r="F342" s="39"/>
      <c r="G342" s="39"/>
      <c r="H342" s="39"/>
      <c r="I342" s="39"/>
      <c r="J342" s="39"/>
      <c r="K342" s="39"/>
      <c r="L342" s="119"/>
      <c r="M342" s="119"/>
      <c r="N342" s="39"/>
      <c r="O342" s="39"/>
      <c r="P342" s="39"/>
      <c r="Q342" s="39"/>
      <c r="R342" s="39"/>
      <c r="S342" s="281"/>
      <c r="T342" s="39"/>
      <c r="U342" s="39"/>
      <c r="V342" s="39"/>
      <c r="W342" s="39"/>
      <c r="X342" s="39"/>
      <c r="Y342" s="39"/>
      <c r="Z342" s="39"/>
      <c r="AA342" s="39"/>
      <c r="AB342" s="39"/>
      <c r="AC342" s="277" t="s">
        <v>166</v>
      </c>
      <c r="AD342" s="278" t="s">
        <v>167</v>
      </c>
      <c r="AE342" s="40">
        <f>ROUND((((X341*E341)/1800)*0.13),4)</f>
        <v>1.32E-2</v>
      </c>
      <c r="AF342" s="40">
        <f>ROUND(((Z341+AA341+AB341)*0.13),4)</f>
        <v>0.4637</v>
      </c>
      <c r="AG342" s="254"/>
      <c r="AH342" s="254"/>
    </row>
    <row r="343" spans="1:34" s="61" customFormat="1" ht="15" customHeight="1" x14ac:dyDescent="0.25">
      <c r="A343" s="289"/>
      <c r="B343" s="1634"/>
      <c r="C343" s="283"/>
      <c r="D343" s="283"/>
      <c r="E343" s="39"/>
      <c r="F343" s="39"/>
      <c r="G343" s="39"/>
      <c r="H343" s="39"/>
      <c r="I343" s="39"/>
      <c r="J343" s="39"/>
      <c r="K343" s="39"/>
      <c r="L343" s="40">
        <v>0.51</v>
      </c>
      <c r="M343" s="40">
        <v>0.63</v>
      </c>
      <c r="N343" s="39"/>
      <c r="O343" s="39"/>
      <c r="P343" s="39"/>
      <c r="Q343" s="39"/>
      <c r="R343" s="39"/>
      <c r="S343" s="284">
        <v>0.25</v>
      </c>
      <c r="T343" s="38">
        <f>ROUND((L343*I341+1.3*L343*K341+S343*H341),4)</f>
        <v>790.09799999999996</v>
      </c>
      <c r="U343" s="38">
        <f>ROUND((M343*0.9*I341+1.3*M343*0.9*K341+S343*H341),4)</f>
        <v>876.72659999999996</v>
      </c>
      <c r="V343" s="38">
        <f>ROUND((M343*I341+1.3*M343*K341+S343*H341),4)</f>
        <v>972.47400000000005</v>
      </c>
      <c r="W343" s="38">
        <f>ROUND((L343*J341+1.3*L343*N341+S343*G341),4)</f>
        <v>15.27</v>
      </c>
      <c r="X343" s="38">
        <f>ROUND((M343*0.9*J341+1.3*M343*0.9*N341+S343*G341),4)</f>
        <v>16.809000000000001</v>
      </c>
      <c r="Y343" s="38">
        <f>ROUND((M343*J341+1.3*M343*N341+S343*G341),4)</f>
        <v>18.510000000000002</v>
      </c>
      <c r="Z343" s="276">
        <f>ROUND((P341*T343*F341*O341/1000000),4)</f>
        <v>0.14219999999999999</v>
      </c>
      <c r="AA343" s="276">
        <f>ROUND((Q341*U343*F341*O341/1000000),4)</f>
        <v>7.8899999999999998E-2</v>
      </c>
      <c r="AB343" s="276">
        <f>ROUND((R341*V343*F341*O341/1000000),4)</f>
        <v>8.7499999999999994E-2</v>
      </c>
      <c r="AC343" s="277" t="s">
        <v>547</v>
      </c>
      <c r="AD343" s="278" t="s">
        <v>169</v>
      </c>
      <c r="AE343" s="40">
        <f>ROUND((((X343*E341)/1800)),4)</f>
        <v>9.2999999999999992E-3</v>
      </c>
      <c r="AF343" s="40">
        <f>ROUND(((Z343+AA343+AB343)),5)</f>
        <v>0.30859999999999999</v>
      </c>
      <c r="AG343" s="254"/>
      <c r="AH343" s="254"/>
    </row>
    <row r="344" spans="1:34" s="61" customFormat="1" ht="15" customHeight="1" x14ac:dyDescent="0.25">
      <c r="A344" s="289"/>
      <c r="B344" s="280"/>
      <c r="C344" s="39"/>
      <c r="D344" s="39"/>
      <c r="E344" s="39"/>
      <c r="F344" s="39"/>
      <c r="G344" s="39"/>
      <c r="H344" s="39"/>
      <c r="I344" s="39"/>
      <c r="J344" s="39"/>
      <c r="K344" s="39"/>
      <c r="L344" s="40">
        <v>1.1399999999999999</v>
      </c>
      <c r="M344" s="40">
        <v>1.37</v>
      </c>
      <c r="N344" s="39"/>
      <c r="O344" s="39"/>
      <c r="P344" s="39"/>
      <c r="Q344" s="39"/>
      <c r="R344" s="39"/>
      <c r="S344" s="285">
        <v>0.79</v>
      </c>
      <c r="T344" s="38">
        <f>ROUND((L344*I341+1.3*L344*K341+S344*H341),4)</f>
        <v>1779.972</v>
      </c>
      <c r="U344" s="38">
        <f>ROUND((M344*0.9*I341+1.3*M344*0.9*K341+S344*H341),4)</f>
        <v>1921.3134</v>
      </c>
      <c r="V344" s="38">
        <f>ROUND((M344*I341+1.3*M344*K341+S344*H341),4)</f>
        <v>2129.5259999999998</v>
      </c>
      <c r="W344" s="38">
        <f>ROUND((L344*J341+1.3*L344*N341+S344*G341),4)</f>
        <v>35.520000000000003</v>
      </c>
      <c r="X344" s="38">
        <f>ROUND((M344*0.9*J341+1.3*M344*0.9*N341+S344*G341),4)</f>
        <v>38.030999999999999</v>
      </c>
      <c r="Y344" s="38">
        <f>ROUND((M344*J341+1.3*N341+S344*G341),4)</f>
        <v>36.92</v>
      </c>
      <c r="Z344" s="276">
        <f>ROUND((P341*T344*F341*O341/1000000),4)</f>
        <v>0.32040000000000002</v>
      </c>
      <c r="AA344" s="276">
        <f>ROUND((Q341*U344*F341*O341/1000000),4)</f>
        <v>0.1729</v>
      </c>
      <c r="AB344" s="276">
        <f>ROUND((R341*V344*F341*O341/1000000),4)</f>
        <v>0.19170000000000001</v>
      </c>
      <c r="AC344" s="277" t="s">
        <v>548</v>
      </c>
      <c r="AD344" s="278" t="s">
        <v>549</v>
      </c>
      <c r="AE344" s="40">
        <f>ROUND((((X344*E341)/1800)),4)</f>
        <v>2.1100000000000001E-2</v>
      </c>
      <c r="AF344" s="40">
        <f>ROUND(((Z344+AA344+AB344)),4)</f>
        <v>0.68500000000000005</v>
      </c>
      <c r="AG344" s="254"/>
      <c r="AH344" s="254"/>
    </row>
    <row r="345" spans="1:34" s="61" customFormat="1" ht="15" customHeight="1" x14ac:dyDescent="0.25">
      <c r="A345" s="289"/>
      <c r="B345" s="280"/>
      <c r="C345" s="39"/>
      <c r="D345" s="39"/>
      <c r="E345" s="39"/>
      <c r="F345" s="39"/>
      <c r="G345" s="39"/>
      <c r="H345" s="39"/>
      <c r="I345" s="39"/>
      <c r="J345" s="39"/>
      <c r="K345" s="39"/>
      <c r="L345" s="40">
        <v>0.72</v>
      </c>
      <c r="M345" s="40">
        <v>1.08</v>
      </c>
      <c r="N345" s="39"/>
      <c r="O345" s="39"/>
      <c r="P345" s="39"/>
      <c r="Q345" s="39"/>
      <c r="R345" s="39"/>
      <c r="S345" s="285">
        <v>0.17</v>
      </c>
      <c r="T345" s="38">
        <f>ROUND((L345*I341+1.3*L345*K341+S345*H341),4)</f>
        <v>1104.4559999999999</v>
      </c>
      <c r="U345" s="38">
        <f>ROUND((M345*0.9*I341+1.3*M345*0.9*K341+S345*H341),4)</f>
        <v>1487.4456</v>
      </c>
      <c r="V345" s="38">
        <f>ROUND((M345*I341+1.3*M345*K341+S345*H341),4)</f>
        <v>1651.5840000000001</v>
      </c>
      <c r="W345" s="38">
        <f>ROUND((L345*J341+1.3*L345*N341+S345*G341),4)</f>
        <v>20.46</v>
      </c>
      <c r="X345" s="38">
        <f>ROUND((M345*0.9*J341+1.3*M345*0.9*N341+S345*G341),4)</f>
        <v>27.263999999999999</v>
      </c>
      <c r="Y345" s="38">
        <f>ROUND((M345*J341+1.3*M345*N341+S345*G341),4)</f>
        <v>30.18</v>
      </c>
      <c r="Z345" s="276">
        <f>ROUND((P341*T345*F341*O341/1000000),4)</f>
        <v>0.1988</v>
      </c>
      <c r="AA345" s="276">
        <f>ROUND((Q341*U345*F341*O341/1000000),4)</f>
        <v>0.13389999999999999</v>
      </c>
      <c r="AB345" s="276">
        <f>ROUND((R341*V345*F341*O341/1000000),4)</f>
        <v>0.14860000000000001</v>
      </c>
      <c r="AC345" s="277" t="s">
        <v>172</v>
      </c>
      <c r="AD345" s="278" t="s">
        <v>173</v>
      </c>
      <c r="AE345" s="40">
        <f>ROUND((((X345*E341)/1800)),4)</f>
        <v>1.5100000000000001E-2</v>
      </c>
      <c r="AF345" s="40">
        <f>ROUND(((Z345+AA345+AB345)),4)</f>
        <v>0.48130000000000001</v>
      </c>
      <c r="AG345" s="254"/>
      <c r="AH345" s="254"/>
    </row>
    <row r="346" spans="1:34" s="61" customFormat="1" ht="15" customHeight="1" x14ac:dyDescent="0.25">
      <c r="A346" s="289"/>
      <c r="B346" s="286"/>
      <c r="C346" s="119"/>
      <c r="D346" s="119"/>
      <c r="E346" s="119"/>
      <c r="F346" s="119"/>
      <c r="G346" s="119"/>
      <c r="H346" s="119"/>
      <c r="I346" s="119"/>
      <c r="J346" s="119"/>
      <c r="K346" s="119"/>
      <c r="L346" s="40">
        <v>3.37</v>
      </c>
      <c r="M346" s="40">
        <v>4.1100000000000003</v>
      </c>
      <c r="N346" s="119"/>
      <c r="O346" s="119"/>
      <c r="P346" s="119"/>
      <c r="Q346" s="119"/>
      <c r="R346" s="119"/>
      <c r="S346" s="285">
        <v>6.31</v>
      </c>
      <c r="T346" s="38">
        <f>ROUND((L346*I341+1.3*L346*K341+S346*H341),4)</f>
        <v>5500.326</v>
      </c>
      <c r="U346" s="38">
        <f>ROUND((M346*0.9*I341+1.3*M346*0.9*K341+S346*H341),4)</f>
        <v>6000.3401999999996</v>
      </c>
      <c r="V346" s="38">
        <f>ROUND((M346*I341+1.3*M346*K341+S346*H341),4)</f>
        <v>6624.9780000000001</v>
      </c>
      <c r="W346" s="38">
        <f>ROUND((L346*J341+1.3*L346*N341+S346*G341),4)</f>
        <v>128.85</v>
      </c>
      <c r="X346" s="38">
        <f>ROUND((M346*0.9*J341+1.3*M346*0.9*N341+S346*G341),4)</f>
        <v>137.733</v>
      </c>
      <c r="Y346" s="38">
        <f>ROUND((M346*J341+1.3*M346*N341+S346*G341),4)</f>
        <v>148.83000000000001</v>
      </c>
      <c r="Z346" s="276">
        <f>ROUND((P341*T346*F341*O341/1000000),4)</f>
        <v>0.99009999999999998</v>
      </c>
      <c r="AA346" s="276">
        <f>ROUND((Q341*U346*F341*O341/1000000),4)</f>
        <v>0.54</v>
      </c>
      <c r="AB346" s="276">
        <f>ROUND((R341*V346*F341*O341/1000000),4)</f>
        <v>0.59619999999999995</v>
      </c>
      <c r="AC346" s="277" t="s">
        <v>157</v>
      </c>
      <c r="AD346" s="278" t="s">
        <v>153</v>
      </c>
      <c r="AE346" s="40">
        <f>ROUND((((X346*E341)/1800)),4)</f>
        <v>7.6499999999999999E-2</v>
      </c>
      <c r="AF346" s="40">
        <f>ROUND(((Z346+AA346+AB346)),4)</f>
        <v>2.1263000000000001</v>
      </c>
      <c r="AG346" s="254"/>
      <c r="AH346" s="254"/>
    </row>
    <row r="347" spans="1:34" s="61" customFormat="1" ht="15" customHeight="1" x14ac:dyDescent="0.25">
      <c r="A347" s="289"/>
      <c r="B347" s="274" t="s">
        <v>592</v>
      </c>
      <c r="C347" s="274">
        <v>5</v>
      </c>
      <c r="D347" s="38" t="s">
        <v>552</v>
      </c>
      <c r="E347" s="38">
        <v>1</v>
      </c>
      <c r="F347" s="38">
        <v>4</v>
      </c>
      <c r="G347" s="38">
        <v>6</v>
      </c>
      <c r="H347" s="38">
        <v>60</v>
      </c>
      <c r="I347" s="38">
        <f>(8-1-0.75*2)*60*F347-K347-8*0.12*60</f>
        <v>404.4</v>
      </c>
      <c r="J347" s="38">
        <v>14</v>
      </c>
      <c r="K347" s="38">
        <f>(8-1-0.75*2)*0.65*60*F347</f>
        <v>858</v>
      </c>
      <c r="L347" s="38">
        <v>4.01</v>
      </c>
      <c r="M347" s="38">
        <v>4.01</v>
      </c>
      <c r="N347" s="38">
        <v>10</v>
      </c>
      <c r="O347" s="38">
        <f>E347/F347</f>
        <v>0.25</v>
      </c>
      <c r="P347" s="38">
        <v>180</v>
      </c>
      <c r="Q347" s="38">
        <v>90</v>
      </c>
      <c r="R347" s="275">
        <v>90</v>
      </c>
      <c r="S347" s="275">
        <v>0.78</v>
      </c>
      <c r="T347" s="38">
        <f>ROUND((L347*I347+1.3*L347*K347+S347*H347),4)</f>
        <v>6141.1980000000003</v>
      </c>
      <c r="U347" s="38">
        <f>ROUND((M347*I347+1.3*M347*K347+S347*H347),4)</f>
        <v>6141.1980000000003</v>
      </c>
      <c r="V347" s="38">
        <f>ROUND((M347*I347+1.3*M347*K347+S347*H347),4)</f>
        <v>6141.1980000000003</v>
      </c>
      <c r="W347" s="38">
        <f>ROUND((L347*J347+1.3*L347*N347+S347*G347),4)</f>
        <v>112.95</v>
      </c>
      <c r="X347" s="38">
        <f>ROUND((M347*J347+1.3*M347*N347+S347*G347),4)</f>
        <v>112.95</v>
      </c>
      <c r="Y347" s="38">
        <f>ROUND((M347*J347+1.3*M347*N347+S347*G347),4)</f>
        <v>112.95</v>
      </c>
      <c r="Z347" s="276">
        <f>ROUND((P347*T347*F347*O347/1000000),4)</f>
        <v>1.1053999999999999</v>
      </c>
      <c r="AA347" s="276">
        <f>ROUND((Q347*U347*F347*O347/1000000),4)</f>
        <v>0.55269999999999997</v>
      </c>
      <c r="AB347" s="276">
        <f>ROUND((R347*V347*F347*O347/1000000),4)</f>
        <v>0.55269999999999997</v>
      </c>
      <c r="AC347" s="277" t="s">
        <v>165</v>
      </c>
      <c r="AD347" s="278" t="s">
        <v>144</v>
      </c>
      <c r="AE347" s="40">
        <f>ROUND((((X347*E347)/1800)*0.8),4)</f>
        <v>5.0200000000000002E-2</v>
      </c>
      <c r="AF347" s="40">
        <f>ROUND(((Z347+AA347+AB347)*0.8),4)</f>
        <v>1.7685999999999999</v>
      </c>
      <c r="AG347" s="254"/>
      <c r="AH347" s="254"/>
    </row>
    <row r="348" spans="1:34" s="61" customFormat="1" ht="15" customHeight="1" x14ac:dyDescent="0.25">
      <c r="A348" s="289"/>
      <c r="B348" s="1642" t="s">
        <v>608</v>
      </c>
      <c r="C348" s="280"/>
      <c r="D348" s="39"/>
      <c r="E348" s="39"/>
      <c r="F348" s="39"/>
      <c r="G348" s="39"/>
      <c r="H348" s="39"/>
      <c r="I348" s="39"/>
      <c r="J348" s="39"/>
      <c r="K348" s="39"/>
      <c r="L348" s="119"/>
      <c r="M348" s="119"/>
      <c r="N348" s="39"/>
      <c r="O348" s="39"/>
      <c r="P348" s="39"/>
      <c r="Q348" s="39"/>
      <c r="R348" s="39"/>
      <c r="S348" s="281"/>
      <c r="T348" s="39"/>
      <c r="U348" s="39"/>
      <c r="V348" s="39"/>
      <c r="W348" s="39"/>
      <c r="X348" s="39"/>
      <c r="Y348" s="39"/>
      <c r="Z348" s="39"/>
      <c r="AA348" s="39"/>
      <c r="AB348" s="39"/>
      <c r="AC348" s="277" t="s">
        <v>166</v>
      </c>
      <c r="AD348" s="278" t="s">
        <v>167</v>
      </c>
      <c r="AE348" s="40">
        <f>ROUND((((X347*E347)/1800)*0.13),4)</f>
        <v>8.2000000000000007E-3</v>
      </c>
      <c r="AF348" s="40">
        <f>ROUND(((Z347+AA347+AB347)*0.13),4)</f>
        <v>0.28739999999999999</v>
      </c>
      <c r="AG348" s="254"/>
      <c r="AH348" s="254"/>
    </row>
    <row r="349" spans="1:34" s="61" customFormat="1" ht="15" customHeight="1" x14ac:dyDescent="0.25">
      <c r="A349" s="289"/>
      <c r="B349" s="1642"/>
      <c r="C349" s="282"/>
      <c r="D349" s="283"/>
      <c r="E349" s="39"/>
      <c r="F349" s="39"/>
      <c r="G349" s="39"/>
      <c r="H349" s="39"/>
      <c r="I349" s="39"/>
      <c r="J349" s="39"/>
      <c r="K349" s="39"/>
      <c r="L349" s="40">
        <v>0.31</v>
      </c>
      <c r="M349" s="40">
        <v>0.38</v>
      </c>
      <c r="N349" s="39"/>
      <c r="O349" s="39"/>
      <c r="P349" s="39"/>
      <c r="Q349" s="39"/>
      <c r="R349" s="39"/>
      <c r="S349" s="284">
        <v>0.16</v>
      </c>
      <c r="T349" s="38">
        <f>ROUND((L349*I347+1.3*L349*K347+S349*H347),4)</f>
        <v>480.738</v>
      </c>
      <c r="U349" s="38">
        <f>ROUND((M349*0.9*I347+1.3*M349*0.9*K347+S349*H347),4)</f>
        <v>529.37159999999994</v>
      </c>
      <c r="V349" s="38">
        <f>ROUND((M349*I347+1.3*M349*K347+S349*H347),4)</f>
        <v>587.12400000000002</v>
      </c>
      <c r="W349" s="38">
        <f>ROUND((L349*J347+1.3*L349*N347+S349*G347),4)</f>
        <v>9.33</v>
      </c>
      <c r="X349" s="38">
        <f>ROUND((M349*0.9*J347+1.3*M349*0.9*N347+S349*G347),4)</f>
        <v>10.194000000000001</v>
      </c>
      <c r="Y349" s="38">
        <f>ROUND((M349*J347+1.3*M349*N347+S349*G347),4)</f>
        <v>11.22</v>
      </c>
      <c r="Z349" s="276">
        <f>ROUND((P347*T349*F347*O347/1000000),4)</f>
        <v>8.6499999999999994E-2</v>
      </c>
      <c r="AA349" s="276">
        <f>ROUND((Q347*U349*F347*O347/1000000),4)</f>
        <v>4.7600000000000003E-2</v>
      </c>
      <c r="AB349" s="276">
        <f>ROUND((R347*V349*F347*O347/1000000),4)</f>
        <v>5.28E-2</v>
      </c>
      <c r="AC349" s="277" t="s">
        <v>547</v>
      </c>
      <c r="AD349" s="278" t="s">
        <v>169</v>
      </c>
      <c r="AE349" s="40">
        <f>ROUND((((X349*E347)/1800)),4)</f>
        <v>5.7000000000000002E-3</v>
      </c>
      <c r="AF349" s="40">
        <f>ROUND(((Z349+AA349+AB349)),5)</f>
        <v>0.18690000000000001</v>
      </c>
      <c r="AG349" s="254"/>
      <c r="AH349" s="254"/>
    </row>
    <row r="350" spans="1:34" s="61" customFormat="1" ht="15" customHeight="1" x14ac:dyDescent="0.25">
      <c r="A350" s="289"/>
      <c r="B350" s="280"/>
      <c r="C350" s="280"/>
      <c r="D350" s="39"/>
      <c r="E350" s="39"/>
      <c r="F350" s="39"/>
      <c r="G350" s="39"/>
      <c r="H350" s="39"/>
      <c r="I350" s="39"/>
      <c r="J350" s="39"/>
      <c r="K350" s="39"/>
      <c r="L350" s="40">
        <v>0.71</v>
      </c>
      <c r="M350" s="40">
        <v>0.85</v>
      </c>
      <c r="N350" s="39"/>
      <c r="O350" s="39"/>
      <c r="P350" s="39"/>
      <c r="Q350" s="39"/>
      <c r="R350" s="39"/>
      <c r="S350" s="285">
        <v>0.49</v>
      </c>
      <c r="T350" s="38">
        <f>ROUND((L350*I347+1.3*L350*K347+S350*H347),4)</f>
        <v>1108.4580000000001</v>
      </c>
      <c r="U350" s="38">
        <f>ROUND((M350*0.9*I347+1.3*M350*0.9*K347+S350*H347),4)</f>
        <v>1192.047</v>
      </c>
      <c r="V350" s="38">
        <f>ROUND((M350*I347+1.3*M350*K347+S350*H347),4)</f>
        <v>1321.23</v>
      </c>
      <c r="W350" s="38">
        <f>ROUND((L350*J347+1.3*L350*N347+S350*G347),4)</f>
        <v>22.11</v>
      </c>
      <c r="X350" s="38">
        <f>ROUND((M350*0.9*J347+1.3*M350*0.9*N347+S350*G347),4)</f>
        <v>23.594999999999999</v>
      </c>
      <c r="Y350" s="38">
        <f>ROUND((M350*J347+1.3*N347+S350*G347),4)</f>
        <v>27.84</v>
      </c>
      <c r="Z350" s="276">
        <f>ROUND((P347*T350*F347*O347/1000000),4)</f>
        <v>0.19950000000000001</v>
      </c>
      <c r="AA350" s="276">
        <f>ROUND((Q347*U350*F347*O347/1000000),4)</f>
        <v>0.10730000000000001</v>
      </c>
      <c r="AB350" s="276">
        <f>ROUND((R347*V350*F347*O347/1000000),4)</f>
        <v>0.11890000000000001</v>
      </c>
      <c r="AC350" s="277" t="s">
        <v>548</v>
      </c>
      <c r="AD350" s="278" t="s">
        <v>549</v>
      </c>
      <c r="AE350" s="40">
        <f>ROUND((((X350*E347)/1800)),4)</f>
        <v>1.3100000000000001E-2</v>
      </c>
      <c r="AF350" s="40">
        <f>ROUND(((Z350+AA350+AB350)),4)</f>
        <v>0.42570000000000002</v>
      </c>
      <c r="AG350" s="254"/>
      <c r="AH350" s="254"/>
    </row>
    <row r="351" spans="1:34" s="61" customFormat="1" ht="15" customHeight="1" x14ac:dyDescent="0.25">
      <c r="A351" s="289"/>
      <c r="B351" s="280"/>
      <c r="C351" s="280"/>
      <c r="D351" s="39"/>
      <c r="E351" s="39"/>
      <c r="F351" s="39"/>
      <c r="G351" s="39"/>
      <c r="H351" s="39"/>
      <c r="I351" s="39"/>
      <c r="J351" s="39"/>
      <c r="K351" s="39"/>
      <c r="L351" s="40">
        <v>0.45</v>
      </c>
      <c r="M351" s="40">
        <v>0.67</v>
      </c>
      <c r="N351" s="39"/>
      <c r="O351" s="39"/>
      <c r="P351" s="39"/>
      <c r="Q351" s="39"/>
      <c r="R351" s="39"/>
      <c r="S351" s="285">
        <v>0.1</v>
      </c>
      <c r="T351" s="38">
        <f>ROUND((L351*I347+1.3*L351*K347+S351*H347),4)</f>
        <v>689.91</v>
      </c>
      <c r="U351" s="38">
        <f>ROUND((M351*0.9*I347+1.3*M351*0.9*K347+S351*H347),4)</f>
        <v>922.43939999999998</v>
      </c>
      <c r="V351" s="38">
        <f>ROUND((M351*I347+1.3*M351*K347+S351*H347),4)</f>
        <v>1024.2660000000001</v>
      </c>
      <c r="W351" s="38">
        <f>ROUND((L351*J347+1.3*L351*N347+S351*G347),4)</f>
        <v>12.75</v>
      </c>
      <c r="X351" s="38">
        <f>ROUND((M351*0.9*J347+1.3*M351*0.9*N347+S351*G347),4)</f>
        <v>16.881</v>
      </c>
      <c r="Y351" s="38">
        <f>ROUND((M351*J347+1.3*M351*N347+S351*G347),4)</f>
        <v>18.690000000000001</v>
      </c>
      <c r="Z351" s="276">
        <f>ROUND((P347*T351*F347*O347/1000000),4)</f>
        <v>0.1242</v>
      </c>
      <c r="AA351" s="276">
        <f>ROUND((Q347*U351*F347*O347/1000000),4)</f>
        <v>8.3000000000000004E-2</v>
      </c>
      <c r="AB351" s="276">
        <f>ROUND((R347*V351*F347*O347/1000000),4)</f>
        <v>9.2200000000000004E-2</v>
      </c>
      <c r="AC351" s="277" t="s">
        <v>172</v>
      </c>
      <c r="AD351" s="278" t="s">
        <v>173</v>
      </c>
      <c r="AE351" s="40">
        <f>ROUND((((X351*E347)/1800)),4)</f>
        <v>9.4000000000000004E-3</v>
      </c>
      <c r="AF351" s="40">
        <f>ROUND(((Z351+AA351+AB351)),4)</f>
        <v>0.2994</v>
      </c>
      <c r="AG351" s="254"/>
      <c r="AH351" s="254"/>
    </row>
    <row r="352" spans="1:34" s="61" customFormat="1" ht="15" customHeight="1" x14ac:dyDescent="0.25">
      <c r="A352" s="289"/>
      <c r="B352" s="286"/>
      <c r="C352" s="286"/>
      <c r="D352" s="119"/>
      <c r="E352" s="119"/>
      <c r="F352" s="119"/>
      <c r="G352" s="119"/>
      <c r="H352" s="119"/>
      <c r="I352" s="119"/>
      <c r="J352" s="119"/>
      <c r="K352" s="119"/>
      <c r="L352" s="40">
        <v>2.09</v>
      </c>
      <c r="M352" s="40">
        <v>2.5499999999999998</v>
      </c>
      <c r="N352" s="119"/>
      <c r="O352" s="119"/>
      <c r="P352" s="119"/>
      <c r="Q352" s="119"/>
      <c r="R352" s="119"/>
      <c r="S352" s="285">
        <v>3.91</v>
      </c>
      <c r="T352" s="38">
        <f>ROUND((L352*I347+1.3*L352*K347+S352*H347),4)</f>
        <v>3410.982</v>
      </c>
      <c r="U352" s="38">
        <f>ROUND((M352*0.9*I347+1.3*M352*0.9*K347+S352*H347),4)</f>
        <v>3722.5410000000002</v>
      </c>
      <c r="V352" s="38">
        <f>ROUND((M352*I347+1.3*M352*K347+S352*H347),4)</f>
        <v>4110.09</v>
      </c>
      <c r="W352" s="38">
        <f>ROUND((L352*J347+1.3*L352*N347+S352*G347),4)</f>
        <v>79.89</v>
      </c>
      <c r="X352" s="38">
        <f>ROUND((M352*0.9*J347+1.3*M352*0.9*N347+S352*G347),4)</f>
        <v>85.424999999999997</v>
      </c>
      <c r="Y352" s="38">
        <f>ROUND((M352*J347+1.3*M352*N347+S352*G347),4)</f>
        <v>92.31</v>
      </c>
      <c r="Z352" s="276">
        <f>ROUND((P347*T352*F347*O347/1000000),4)</f>
        <v>0.61399999999999999</v>
      </c>
      <c r="AA352" s="276">
        <f>ROUND((Q347*U352*F347*O347/1000000),4)</f>
        <v>0.33500000000000002</v>
      </c>
      <c r="AB352" s="276">
        <f>ROUND((R347*V352*F347*O347/1000000),4)</f>
        <v>0.36990000000000001</v>
      </c>
      <c r="AC352" s="277" t="s">
        <v>157</v>
      </c>
      <c r="AD352" s="278" t="s">
        <v>153</v>
      </c>
      <c r="AE352" s="40">
        <f>ROUND((((X352*E347)/1800)),4)</f>
        <v>4.7500000000000001E-2</v>
      </c>
      <c r="AF352" s="40">
        <f>ROUND(((Z352+AA352+AB352)),4)</f>
        <v>1.3189</v>
      </c>
      <c r="AG352" s="254"/>
      <c r="AH352" s="254"/>
    </row>
    <row r="353" spans="1:34" s="61" customFormat="1" ht="15" customHeight="1" x14ac:dyDescent="0.25">
      <c r="A353" s="289"/>
      <c r="B353" s="274" t="s">
        <v>592</v>
      </c>
      <c r="C353" s="274">
        <v>5</v>
      </c>
      <c r="D353" s="38" t="s">
        <v>552</v>
      </c>
      <c r="E353" s="38">
        <v>1</v>
      </c>
      <c r="F353" s="38">
        <v>17</v>
      </c>
      <c r="G353" s="38">
        <v>6</v>
      </c>
      <c r="H353" s="38">
        <v>60</v>
      </c>
      <c r="I353" s="38">
        <f>(8-1-0.75*2)*60*F353-K353-8*0.12*60</f>
        <v>1905.9</v>
      </c>
      <c r="J353" s="38">
        <v>14</v>
      </c>
      <c r="K353" s="38">
        <f>(8-1-0.75*2)*0.65*60*F353</f>
        <v>3646.5</v>
      </c>
      <c r="L353" s="38">
        <v>4.01</v>
      </c>
      <c r="M353" s="38">
        <v>4.01</v>
      </c>
      <c r="N353" s="38">
        <v>10</v>
      </c>
      <c r="O353" s="38">
        <f>E353/F353</f>
        <v>5.8823529411764705E-2</v>
      </c>
      <c r="P353" s="38">
        <v>180</v>
      </c>
      <c r="Q353" s="38">
        <v>90</v>
      </c>
      <c r="R353" s="275">
        <v>90</v>
      </c>
      <c r="S353" s="275">
        <v>0.78</v>
      </c>
      <c r="T353" s="38">
        <f>ROUND((L353*I353+1.3*L353*K353+S353*H353),4)</f>
        <v>26698.663499999999</v>
      </c>
      <c r="U353" s="38">
        <f>ROUND((M353*I353+1.3*M353*K353+S353*H353),4)</f>
        <v>26698.663499999999</v>
      </c>
      <c r="V353" s="38">
        <f>ROUND((M353*I353+1.3*M353*K353+S353*H353),4)</f>
        <v>26698.663499999999</v>
      </c>
      <c r="W353" s="38">
        <f>ROUND((L353*J353+1.3*L353*N353+S353*G353),4)</f>
        <v>112.95</v>
      </c>
      <c r="X353" s="38">
        <f>ROUND((M353*J353+1.3*M353*N353+S353*G353),4)</f>
        <v>112.95</v>
      </c>
      <c r="Y353" s="38">
        <f>ROUND((M353*J353+1.3*M353*N353+S353*G353),4)</f>
        <v>112.95</v>
      </c>
      <c r="Z353" s="276">
        <f>ROUND((P353*T353*F353*O353/1000000),4)</f>
        <v>4.8057999999999996</v>
      </c>
      <c r="AA353" s="276">
        <f>ROUND((Q353*U353*F353*O353/1000000),4)</f>
        <v>2.4028999999999998</v>
      </c>
      <c r="AB353" s="276">
        <f>ROUND((R353*V353*F353*O353/1000000),4)</f>
        <v>2.4028999999999998</v>
      </c>
      <c r="AC353" s="277" t="s">
        <v>165</v>
      </c>
      <c r="AD353" s="278" t="s">
        <v>144</v>
      </c>
      <c r="AE353" s="40">
        <f>ROUND((((X353*E353)/1800)*0.8),4)</f>
        <v>5.0200000000000002E-2</v>
      </c>
      <c r="AF353" s="40">
        <f>ROUND(((Z353+AA353+AB353)*0.8),4)</f>
        <v>7.6893000000000002</v>
      </c>
      <c r="AG353" s="254"/>
      <c r="AH353" s="254"/>
    </row>
    <row r="354" spans="1:34" s="61" customFormat="1" ht="15" customHeight="1" x14ac:dyDescent="0.25">
      <c r="A354" s="289"/>
      <c r="B354" s="279" t="s">
        <v>594</v>
      </c>
      <c r="C354" s="280"/>
      <c r="D354" s="39"/>
      <c r="E354" s="39"/>
      <c r="F354" s="39"/>
      <c r="G354" s="39"/>
      <c r="H354" s="39"/>
      <c r="I354" s="39"/>
      <c r="J354" s="39"/>
      <c r="K354" s="39"/>
      <c r="L354" s="119"/>
      <c r="M354" s="119"/>
      <c r="N354" s="39"/>
      <c r="O354" s="39"/>
      <c r="P354" s="39"/>
      <c r="Q354" s="39"/>
      <c r="R354" s="39"/>
      <c r="S354" s="281"/>
      <c r="T354" s="39"/>
      <c r="U354" s="39"/>
      <c r="V354" s="39"/>
      <c r="W354" s="39"/>
      <c r="X354" s="39"/>
      <c r="Y354" s="39"/>
      <c r="Z354" s="39"/>
      <c r="AA354" s="39"/>
      <c r="AB354" s="39"/>
      <c r="AC354" s="277" t="s">
        <v>166</v>
      </c>
      <c r="AD354" s="278" t="s">
        <v>167</v>
      </c>
      <c r="AE354" s="40">
        <f>ROUND((((X353*E353)/1800)*0.13),4)</f>
        <v>8.2000000000000007E-3</v>
      </c>
      <c r="AF354" s="40">
        <f>ROUND(((Z353+AA353+AB353)*0.13),4)</f>
        <v>1.2495000000000001</v>
      </c>
      <c r="AG354" s="254"/>
      <c r="AH354" s="254"/>
    </row>
    <row r="355" spans="1:34" s="61" customFormat="1" ht="15" customHeight="1" x14ac:dyDescent="0.25">
      <c r="A355" s="289"/>
      <c r="B355" s="280"/>
      <c r="C355" s="282"/>
      <c r="D355" s="283"/>
      <c r="E355" s="39"/>
      <c r="F355" s="39"/>
      <c r="G355" s="39"/>
      <c r="H355" s="39"/>
      <c r="I355" s="39"/>
      <c r="J355" s="39"/>
      <c r="K355" s="39"/>
      <c r="L355" s="40">
        <v>0.31</v>
      </c>
      <c r="M355" s="40">
        <v>0.38</v>
      </c>
      <c r="N355" s="39"/>
      <c r="O355" s="39"/>
      <c r="P355" s="39"/>
      <c r="Q355" s="39"/>
      <c r="R355" s="39"/>
      <c r="S355" s="284">
        <v>0.16</v>
      </c>
      <c r="T355" s="38">
        <f>ROUND((L355*I353+1.3*L355*K353+S355*H353),4)</f>
        <v>2069.9684999999999</v>
      </c>
      <c r="U355" s="38">
        <f>ROUND((M355*0.9*I353+1.3*M355*0.9*K353+S355*H353),4)</f>
        <v>2282.6516999999999</v>
      </c>
      <c r="V355" s="38">
        <f>ROUND((M355*I353+1.3*M355*K353+S355*H353),4)</f>
        <v>2535.2130000000002</v>
      </c>
      <c r="W355" s="38">
        <f>ROUND((L355*J353+1.3*L355*N353+S355*G353),4)</f>
        <v>9.33</v>
      </c>
      <c r="X355" s="38">
        <f>ROUND((M355*0.9*J353+1.3*M355*0.9*N353+S355*G353),4)</f>
        <v>10.194000000000001</v>
      </c>
      <c r="Y355" s="38">
        <f>ROUND((M355*J353+1.3*M355*N353+S355*G353),4)</f>
        <v>11.22</v>
      </c>
      <c r="Z355" s="276">
        <f>ROUND((P353*T355*F353*O353/1000000),4)</f>
        <v>0.37259999999999999</v>
      </c>
      <c r="AA355" s="276">
        <f>ROUND((Q353*U355*F353*O353/1000000),4)</f>
        <v>0.2054</v>
      </c>
      <c r="AB355" s="276">
        <f>ROUND((R353*V355*F353*O353/1000000),4)</f>
        <v>0.22819999999999999</v>
      </c>
      <c r="AC355" s="277" t="s">
        <v>547</v>
      </c>
      <c r="AD355" s="278" t="s">
        <v>169</v>
      </c>
      <c r="AE355" s="40">
        <f>ROUND((((X355*E353)/1800)),4)</f>
        <v>5.7000000000000002E-3</v>
      </c>
      <c r="AF355" s="40">
        <f>ROUND(((Z355+AA355+AB355)),5)</f>
        <v>0.80620000000000003</v>
      </c>
      <c r="AG355" s="254"/>
      <c r="AH355" s="254"/>
    </row>
    <row r="356" spans="1:34" s="61" customFormat="1" ht="15" customHeight="1" x14ac:dyDescent="0.25">
      <c r="A356" s="289"/>
      <c r="B356" s="280"/>
      <c r="C356" s="280"/>
      <c r="D356" s="39"/>
      <c r="E356" s="39"/>
      <c r="F356" s="39"/>
      <c r="G356" s="39"/>
      <c r="H356" s="39"/>
      <c r="I356" s="39"/>
      <c r="J356" s="39"/>
      <c r="K356" s="39"/>
      <c r="L356" s="40">
        <v>0.71</v>
      </c>
      <c r="M356" s="40">
        <v>0.85</v>
      </c>
      <c r="N356" s="39"/>
      <c r="O356" s="39"/>
      <c r="P356" s="39"/>
      <c r="Q356" s="39"/>
      <c r="R356" s="39"/>
      <c r="S356" s="285">
        <v>0.49</v>
      </c>
      <c r="T356" s="38">
        <f>ROUND((L356*I353+1.3*L356*K353+S356*H353),4)</f>
        <v>4748.3085000000001</v>
      </c>
      <c r="U356" s="38">
        <f>ROUND((M356*0.9*I353+1.3*M356*0.9*K353+S356*H353),4)</f>
        <v>5113.8577999999998</v>
      </c>
      <c r="V356" s="38">
        <f>ROUND((M356*I353+1.3*M356*K353+S356*H353),4)</f>
        <v>5678.7974999999997</v>
      </c>
      <c r="W356" s="38">
        <f>ROUND((L356*J353+1.3*L356*N353+S356*G353),4)</f>
        <v>22.11</v>
      </c>
      <c r="X356" s="38">
        <f>ROUND((M356*0.9*J353+1.3*M356*0.9*N353+S356*G353),4)</f>
        <v>23.594999999999999</v>
      </c>
      <c r="Y356" s="38">
        <f>ROUND((M356*J353+1.3*N353+S356*G353),4)</f>
        <v>27.84</v>
      </c>
      <c r="Z356" s="276">
        <f>ROUND((P353*T356*F353*O353/1000000),4)</f>
        <v>0.85470000000000002</v>
      </c>
      <c r="AA356" s="276">
        <f>ROUND((Q353*U356*F353*O353/1000000),4)</f>
        <v>0.4602</v>
      </c>
      <c r="AB356" s="276">
        <f>ROUND((R353*V356*F353*O353/1000000),4)</f>
        <v>0.5111</v>
      </c>
      <c r="AC356" s="277" t="s">
        <v>548</v>
      </c>
      <c r="AD356" s="278" t="s">
        <v>549</v>
      </c>
      <c r="AE356" s="40">
        <f>ROUND((((X356*E353)/1800)),4)</f>
        <v>1.3100000000000001E-2</v>
      </c>
      <c r="AF356" s="40">
        <f>ROUND(((Z356+AA356+AB356)),4)</f>
        <v>1.8260000000000001</v>
      </c>
      <c r="AG356" s="254"/>
      <c r="AH356" s="254"/>
    </row>
    <row r="357" spans="1:34" s="61" customFormat="1" ht="15" customHeight="1" x14ac:dyDescent="0.25">
      <c r="A357" s="289"/>
      <c r="B357" s="280"/>
      <c r="C357" s="280"/>
      <c r="D357" s="39"/>
      <c r="E357" s="39"/>
      <c r="F357" s="39"/>
      <c r="G357" s="39"/>
      <c r="H357" s="39"/>
      <c r="I357" s="39"/>
      <c r="J357" s="39"/>
      <c r="K357" s="39"/>
      <c r="L357" s="40">
        <v>0.45</v>
      </c>
      <c r="M357" s="40">
        <v>0.67</v>
      </c>
      <c r="N357" s="39"/>
      <c r="O357" s="39"/>
      <c r="P357" s="39"/>
      <c r="Q357" s="39"/>
      <c r="R357" s="39"/>
      <c r="S357" s="285">
        <v>0.1</v>
      </c>
      <c r="T357" s="38">
        <f>ROUND((L357*I353+1.3*L357*K353+S357*H353),4)</f>
        <v>2996.8575000000001</v>
      </c>
      <c r="U357" s="38">
        <f>ROUND((M357*0.9*I353+1.3*M357*0.9*K353+S357*H353),4)</f>
        <v>4013.7491</v>
      </c>
      <c r="V357" s="38">
        <f>ROUND((M357*I353+1.3*M357*K353+S357*H353),4)</f>
        <v>4459.0545000000002</v>
      </c>
      <c r="W357" s="38">
        <f>ROUND((L357*J353+1.3*L357*N353+S357*G353),4)</f>
        <v>12.75</v>
      </c>
      <c r="X357" s="38">
        <f>ROUND((M357*0.9*J353+1.3*M357*0.9*N353+S357*G353),4)</f>
        <v>16.881</v>
      </c>
      <c r="Y357" s="38">
        <f>ROUND((M357*J353+1.3*M357*N353+S357*G353),4)</f>
        <v>18.690000000000001</v>
      </c>
      <c r="Z357" s="276">
        <f>ROUND((P353*T357*F353*O353/1000000),4)</f>
        <v>0.53939999999999999</v>
      </c>
      <c r="AA357" s="276">
        <f>ROUND((Q353*U357*F353*O353/1000000),4)</f>
        <v>0.36120000000000002</v>
      </c>
      <c r="AB357" s="276">
        <f>ROUND((R353*V357*F353*O353/1000000),4)</f>
        <v>0.40129999999999999</v>
      </c>
      <c r="AC357" s="277" t="s">
        <v>172</v>
      </c>
      <c r="AD357" s="278" t="s">
        <v>173</v>
      </c>
      <c r="AE357" s="40">
        <f>ROUND((((X357*E353)/1800)),4)</f>
        <v>9.4000000000000004E-3</v>
      </c>
      <c r="AF357" s="40">
        <f>ROUND(((Z357+AA357+AB357)),4)</f>
        <v>1.3019000000000001</v>
      </c>
      <c r="AG357" s="254"/>
      <c r="AH357" s="254"/>
    </row>
    <row r="358" spans="1:34" s="61" customFormat="1" ht="15" customHeight="1" x14ac:dyDescent="0.25">
      <c r="A358" s="289"/>
      <c r="B358" s="286"/>
      <c r="C358" s="286"/>
      <c r="D358" s="119"/>
      <c r="E358" s="119"/>
      <c r="F358" s="119"/>
      <c r="G358" s="119"/>
      <c r="H358" s="119"/>
      <c r="I358" s="119"/>
      <c r="J358" s="119"/>
      <c r="K358" s="119"/>
      <c r="L358" s="40">
        <v>2.09</v>
      </c>
      <c r="M358" s="40">
        <v>2.5499999999999998</v>
      </c>
      <c r="N358" s="119"/>
      <c r="O358" s="119"/>
      <c r="P358" s="119"/>
      <c r="Q358" s="119"/>
      <c r="R358" s="119"/>
      <c r="S358" s="285">
        <v>3.91</v>
      </c>
      <c r="T358" s="38">
        <f>ROUND((L358*I353+1.3*L358*K353+S358*H353),4)</f>
        <v>14125.4715</v>
      </c>
      <c r="U358" s="38">
        <f>ROUND((M358*0.9*I353+1.3*M358*0.9*K353+S358*H353),4)</f>
        <v>15487.9733</v>
      </c>
      <c r="V358" s="38">
        <f>ROUND((M358*I353+1.3*M358*K353+S358*H353),4)</f>
        <v>17182.7925</v>
      </c>
      <c r="W358" s="38">
        <f>ROUND((L358*J353+1.3*L358*N353+S358*G353),4)</f>
        <v>79.89</v>
      </c>
      <c r="X358" s="38">
        <f>ROUND((M358*0.9*J353+1.3*M358*0.9*N353+S358*G353),4)</f>
        <v>85.424999999999997</v>
      </c>
      <c r="Y358" s="38">
        <f>ROUND((M358*J353+1.3*M358*N353+S358*G353),4)</f>
        <v>92.31</v>
      </c>
      <c r="Z358" s="276">
        <f>ROUND((P353*T358*F353*O353/1000000),4)</f>
        <v>2.5426000000000002</v>
      </c>
      <c r="AA358" s="276">
        <f>ROUND((Q353*U358*F353*O353/1000000),4)</f>
        <v>1.3938999999999999</v>
      </c>
      <c r="AB358" s="276">
        <f>ROUND((R353*V358*F353*O353/1000000),4)</f>
        <v>1.5465</v>
      </c>
      <c r="AC358" s="277" t="s">
        <v>157</v>
      </c>
      <c r="AD358" s="278" t="s">
        <v>153</v>
      </c>
      <c r="AE358" s="40">
        <f>ROUND((((X358*E353)/1800)),4)</f>
        <v>4.7500000000000001E-2</v>
      </c>
      <c r="AF358" s="40">
        <f>ROUND(((Z358+AA358+AB358)),4)</f>
        <v>5.4829999999999997</v>
      </c>
      <c r="AG358" s="254"/>
      <c r="AH358" s="254"/>
    </row>
    <row r="359" spans="1:34" s="61" customFormat="1" ht="15" customHeight="1" x14ac:dyDescent="0.25">
      <c r="A359" s="289"/>
      <c r="B359" s="274" t="s">
        <v>570</v>
      </c>
      <c r="C359" s="274">
        <v>6</v>
      </c>
      <c r="D359" s="38" t="s">
        <v>556</v>
      </c>
      <c r="E359" s="38">
        <v>1</v>
      </c>
      <c r="F359" s="38">
        <v>20</v>
      </c>
      <c r="G359" s="38">
        <v>6</v>
      </c>
      <c r="H359" s="38">
        <v>60</v>
      </c>
      <c r="I359" s="38">
        <f>(8-1-0.75*2)*60*F359-K359-8*0.12*60</f>
        <v>2252.4</v>
      </c>
      <c r="J359" s="38">
        <v>14</v>
      </c>
      <c r="K359" s="38">
        <f>(8-1-0.75*2)*0.65*60*F359</f>
        <v>4290</v>
      </c>
      <c r="L359" s="38">
        <v>6.47</v>
      </c>
      <c r="M359" s="38">
        <v>6.47</v>
      </c>
      <c r="N359" s="38">
        <v>10</v>
      </c>
      <c r="O359" s="38">
        <f>E359/F359</f>
        <v>0.05</v>
      </c>
      <c r="P359" s="38">
        <v>180</v>
      </c>
      <c r="Q359" s="38">
        <v>90</v>
      </c>
      <c r="R359" s="275">
        <v>90</v>
      </c>
      <c r="S359" s="275">
        <v>1.27</v>
      </c>
      <c r="T359" s="38">
        <f>ROUND((L359*I359+1.3*L359*K359+S359*H359),4)</f>
        <v>50732.417999999998</v>
      </c>
      <c r="U359" s="38">
        <f>ROUND((M359*I359+1.3*M359*K359+S359*H359),4)</f>
        <v>50732.417999999998</v>
      </c>
      <c r="V359" s="38">
        <f>ROUND((M359*I359+1.3*M359*K359+S359*H359),4)</f>
        <v>50732.417999999998</v>
      </c>
      <c r="W359" s="38">
        <f>ROUND((L359*J359+1.3*L359*N359+S359*G359),4)</f>
        <v>182.31</v>
      </c>
      <c r="X359" s="38">
        <f>ROUND((M359*J359+1.3*M359*N359+S359*G359),4)</f>
        <v>182.31</v>
      </c>
      <c r="Y359" s="38">
        <f>ROUND((M359*J359+1.3*M359*N359+S359*G359),4)</f>
        <v>182.31</v>
      </c>
      <c r="Z359" s="276">
        <f>ROUND((P359*T359*F359*O359/1000000),4)</f>
        <v>9.1318000000000001</v>
      </c>
      <c r="AA359" s="276">
        <f>ROUND((Q359*U359*F359*O359/1000000),4)</f>
        <v>4.5659000000000001</v>
      </c>
      <c r="AB359" s="276">
        <f>ROUND((R359*V359*F359*O359/1000000),4)</f>
        <v>4.5659000000000001</v>
      </c>
      <c r="AC359" s="277" t="s">
        <v>165</v>
      </c>
      <c r="AD359" s="278" t="s">
        <v>144</v>
      </c>
      <c r="AE359" s="40">
        <f>ROUND((((X359*E359)/1800)*0.8),4)</f>
        <v>8.1000000000000003E-2</v>
      </c>
      <c r="AF359" s="40">
        <f>ROUND(((Z359+AA359+AB359)*0.8),4)</f>
        <v>14.610900000000001</v>
      </c>
      <c r="AG359" s="254"/>
      <c r="AH359" s="254"/>
    </row>
    <row r="360" spans="1:34" s="61" customFormat="1" ht="15" customHeight="1" x14ac:dyDescent="0.25">
      <c r="A360" s="289"/>
      <c r="B360" s="280" t="s">
        <v>571</v>
      </c>
      <c r="C360" s="39"/>
      <c r="D360" s="39"/>
      <c r="E360" s="39"/>
      <c r="F360" s="39"/>
      <c r="G360" s="39"/>
      <c r="H360" s="39"/>
      <c r="I360" s="39"/>
      <c r="J360" s="39"/>
      <c r="K360" s="39"/>
      <c r="L360" s="119"/>
      <c r="M360" s="119"/>
      <c r="N360" s="39"/>
      <c r="O360" s="39"/>
      <c r="P360" s="39"/>
      <c r="Q360" s="39"/>
      <c r="R360" s="39"/>
      <c r="S360" s="281"/>
      <c r="T360" s="39"/>
      <c r="U360" s="39"/>
      <c r="V360" s="39"/>
      <c r="W360" s="39"/>
      <c r="X360" s="39"/>
      <c r="Y360" s="39"/>
      <c r="Z360" s="39"/>
      <c r="AA360" s="39"/>
      <c r="AB360" s="39"/>
      <c r="AC360" s="277" t="s">
        <v>166</v>
      </c>
      <c r="AD360" s="278" t="s">
        <v>167</v>
      </c>
      <c r="AE360" s="40">
        <f>ROUND((((X359*E359)/1800)*0.13),4)</f>
        <v>1.32E-2</v>
      </c>
      <c r="AF360" s="40">
        <f>ROUND(((Z359+AA359+AB359)*0.13),4)</f>
        <v>2.3742999999999999</v>
      </c>
      <c r="AG360" s="254"/>
      <c r="AH360" s="254"/>
    </row>
    <row r="361" spans="1:34" s="61" customFormat="1" ht="15" customHeight="1" x14ac:dyDescent="0.25">
      <c r="A361" s="289"/>
      <c r="B361" s="287"/>
      <c r="C361" s="283"/>
      <c r="D361" s="283"/>
      <c r="E361" s="39"/>
      <c r="F361" s="39"/>
      <c r="G361" s="39"/>
      <c r="H361" s="39"/>
      <c r="I361" s="39"/>
      <c r="J361" s="39"/>
      <c r="K361" s="39"/>
      <c r="L361" s="40">
        <v>0.51</v>
      </c>
      <c r="M361" s="40">
        <v>0.63</v>
      </c>
      <c r="N361" s="39"/>
      <c r="O361" s="39"/>
      <c r="P361" s="39"/>
      <c r="Q361" s="39"/>
      <c r="R361" s="39"/>
      <c r="S361" s="284">
        <v>0.25</v>
      </c>
      <c r="T361" s="38">
        <f>ROUND((L361*I359+1.3*L361*K359+S361*H359),4)</f>
        <v>4007.9940000000001</v>
      </c>
      <c r="U361" s="38">
        <f>ROUND((M361*0.9*I359+1.3*M361*0.9*K359+S361*H359),4)</f>
        <v>4454.2698</v>
      </c>
      <c r="V361" s="38">
        <f>ROUND((M361*I359+1.3*M361*K359+S361*H359),4)</f>
        <v>4947.5219999999999</v>
      </c>
      <c r="W361" s="38">
        <f>ROUND((L361*J359+1.3*L361*N359+S361*G359),4)</f>
        <v>15.27</v>
      </c>
      <c r="X361" s="38">
        <f>ROUND((M361*0.9*J359+1.3*M361*0.9*N359+S361*G359),4)</f>
        <v>16.809000000000001</v>
      </c>
      <c r="Y361" s="38">
        <f>ROUND((M361*J359+1.3*M361*N359+S361*G359),4)</f>
        <v>18.510000000000002</v>
      </c>
      <c r="Z361" s="276">
        <f>ROUND((P359*T361*F359*O359/1000000),4)</f>
        <v>0.72140000000000004</v>
      </c>
      <c r="AA361" s="276">
        <f>ROUND((Q359*U361*F359*O359/1000000),4)</f>
        <v>0.40089999999999998</v>
      </c>
      <c r="AB361" s="276">
        <f>ROUND((R359*V361*F359*O359/1000000),4)</f>
        <v>0.44529999999999997</v>
      </c>
      <c r="AC361" s="277" t="s">
        <v>547</v>
      </c>
      <c r="AD361" s="278" t="s">
        <v>169</v>
      </c>
      <c r="AE361" s="40">
        <f>ROUND((((X361*E359)/1800)),4)</f>
        <v>9.2999999999999992E-3</v>
      </c>
      <c r="AF361" s="40">
        <f>ROUND(((Z361+AA361+AB361)),5)</f>
        <v>1.5676000000000001</v>
      </c>
      <c r="AG361" s="254"/>
      <c r="AH361" s="254"/>
    </row>
    <row r="362" spans="1:34" s="61" customFormat="1" ht="15" customHeight="1" x14ac:dyDescent="0.25">
      <c r="A362" s="289"/>
      <c r="B362" s="280"/>
      <c r="C362" s="39"/>
      <c r="D362" s="39"/>
      <c r="E362" s="39"/>
      <c r="F362" s="39"/>
      <c r="G362" s="39"/>
      <c r="H362" s="39"/>
      <c r="I362" s="39"/>
      <c r="J362" s="39"/>
      <c r="K362" s="39"/>
      <c r="L362" s="40">
        <v>1.1399999999999999</v>
      </c>
      <c r="M362" s="40">
        <v>1.37</v>
      </c>
      <c r="N362" s="39"/>
      <c r="O362" s="39"/>
      <c r="P362" s="39"/>
      <c r="Q362" s="39"/>
      <c r="R362" s="39"/>
      <c r="S362" s="285">
        <v>0.79</v>
      </c>
      <c r="T362" s="38">
        <f>ROUND((L362*I359+1.3*L362*K359+S362*H359),4)</f>
        <v>8972.9159999999993</v>
      </c>
      <c r="U362" s="38">
        <f>ROUND((M362*0.9*I359+1.3*M362*0.9*K359+S362*H359),4)</f>
        <v>9701.0501999999997</v>
      </c>
      <c r="V362" s="38">
        <f>ROUND((M362*I359+1.3*M362*K359+S362*H359),4)</f>
        <v>10773.678</v>
      </c>
      <c r="W362" s="38">
        <f>ROUND((L362*J359+1.3*L362*N359+S362*G359),4)</f>
        <v>35.520000000000003</v>
      </c>
      <c r="X362" s="38">
        <f>ROUND((M362*0.9*J359+1.3*M362*0.9*N359+S362*G359),4)</f>
        <v>38.030999999999999</v>
      </c>
      <c r="Y362" s="38">
        <f>ROUND((M362*J359+1.3*N359+S362*G359),4)</f>
        <v>36.92</v>
      </c>
      <c r="Z362" s="276">
        <f>ROUND((P359*T362*F359*O359/1000000),4)</f>
        <v>1.6151</v>
      </c>
      <c r="AA362" s="276">
        <f>ROUND((Q359*U362*F359*O359/1000000),4)</f>
        <v>0.87309999999999999</v>
      </c>
      <c r="AB362" s="276">
        <f>ROUND((R359*V362*F359*O359/1000000),4)</f>
        <v>0.96960000000000002</v>
      </c>
      <c r="AC362" s="277" t="s">
        <v>548</v>
      </c>
      <c r="AD362" s="278" t="s">
        <v>549</v>
      </c>
      <c r="AE362" s="40">
        <f>ROUND((((X362*E359)/1800)),4)</f>
        <v>2.1100000000000001E-2</v>
      </c>
      <c r="AF362" s="40">
        <f>ROUND(((Z362+AA362+AB362)),4)</f>
        <v>3.4578000000000002</v>
      </c>
      <c r="AG362" s="254"/>
      <c r="AH362" s="254"/>
    </row>
    <row r="363" spans="1:34" s="61" customFormat="1" ht="15" customHeight="1" x14ac:dyDescent="0.25">
      <c r="A363" s="289"/>
      <c r="B363" s="280"/>
      <c r="C363" s="39"/>
      <c r="D363" s="39"/>
      <c r="E363" s="39"/>
      <c r="F363" s="39"/>
      <c r="G363" s="39"/>
      <c r="H363" s="39"/>
      <c r="I363" s="39"/>
      <c r="J363" s="39"/>
      <c r="K363" s="39"/>
      <c r="L363" s="40">
        <v>0.72</v>
      </c>
      <c r="M363" s="40">
        <v>1.08</v>
      </c>
      <c r="N363" s="39"/>
      <c r="O363" s="39"/>
      <c r="P363" s="39"/>
      <c r="Q363" s="39"/>
      <c r="R363" s="39"/>
      <c r="S363" s="285">
        <v>0.17</v>
      </c>
      <c r="T363" s="38">
        <f>ROUND((L363*I359+1.3*L363*K359+S363*H359),4)</f>
        <v>5647.3680000000004</v>
      </c>
      <c r="U363" s="38">
        <f>ROUND((M363*0.9*I359+1.3*M363*0.9*K359+S363*H359),4)</f>
        <v>7620.3768</v>
      </c>
      <c r="V363" s="38">
        <f>ROUND((M363*I359+1.3*M363*K359+S363*H359),4)</f>
        <v>8465.9519999999993</v>
      </c>
      <c r="W363" s="38">
        <f>ROUND((L363*J359+1.3*L363*N359+S363*G359),4)</f>
        <v>20.46</v>
      </c>
      <c r="X363" s="38">
        <f>ROUND((M363*0.9*J359+1.3*M363*0.9*N359+S363*G359),4)</f>
        <v>27.263999999999999</v>
      </c>
      <c r="Y363" s="38">
        <f>ROUND((M363*J359+1.3*M363*N359+S363*G359),4)</f>
        <v>30.18</v>
      </c>
      <c r="Z363" s="276">
        <f>ROUND((P359*T363*F359*O359/1000000),4)</f>
        <v>1.0165</v>
      </c>
      <c r="AA363" s="276">
        <f>ROUND((Q359*U363*F359*O359/1000000),4)</f>
        <v>0.68579999999999997</v>
      </c>
      <c r="AB363" s="276">
        <f>ROUND((R359*V363*F359*O359/1000000),4)</f>
        <v>0.76190000000000002</v>
      </c>
      <c r="AC363" s="277" t="s">
        <v>172</v>
      </c>
      <c r="AD363" s="278" t="s">
        <v>173</v>
      </c>
      <c r="AE363" s="40">
        <f>ROUND((((X363*E359)/1800)),4)</f>
        <v>1.5100000000000001E-2</v>
      </c>
      <c r="AF363" s="40">
        <f>ROUND(((Z363+AA363+AB363)),4)</f>
        <v>2.4641999999999999</v>
      </c>
      <c r="AG363" s="254"/>
      <c r="AH363" s="254"/>
    </row>
    <row r="364" spans="1:34" s="61" customFormat="1" ht="15" customHeight="1" x14ac:dyDescent="0.25">
      <c r="A364" s="289"/>
      <c r="B364" s="286"/>
      <c r="C364" s="119"/>
      <c r="D364" s="119"/>
      <c r="E364" s="119"/>
      <c r="F364" s="119"/>
      <c r="G364" s="119"/>
      <c r="H364" s="119"/>
      <c r="I364" s="119"/>
      <c r="J364" s="119"/>
      <c r="K364" s="119"/>
      <c r="L364" s="40">
        <v>3.37</v>
      </c>
      <c r="M364" s="40">
        <v>4.1100000000000003</v>
      </c>
      <c r="N364" s="119"/>
      <c r="O364" s="119"/>
      <c r="P364" s="119"/>
      <c r="Q364" s="119"/>
      <c r="R364" s="119"/>
      <c r="S364" s="285">
        <v>6.31</v>
      </c>
      <c r="T364" s="38">
        <f>ROUND((L364*I359+1.3*L364*K359+S364*H359),4)</f>
        <v>26763.678</v>
      </c>
      <c r="U364" s="38">
        <f>ROUND((M364*0.9*I359+1.3*M364*0.9*K359+S364*H359),4)</f>
        <v>29339.550599999999</v>
      </c>
      <c r="V364" s="38">
        <f>ROUND((M364*I359+1.3*M364*K359+S364*H359),4)</f>
        <v>32557.434000000001</v>
      </c>
      <c r="W364" s="38">
        <f>ROUND((L364*J359+1.3*L364*N359+S364*G359),4)</f>
        <v>128.85</v>
      </c>
      <c r="X364" s="38">
        <f>ROUND((M364*0.9*J359+1.3*M364*0.9*N359+S364*G359),4)</f>
        <v>137.733</v>
      </c>
      <c r="Y364" s="38">
        <f>ROUND((M364*J359+1.3*M364*N359+S364*G359),4)</f>
        <v>148.83000000000001</v>
      </c>
      <c r="Z364" s="276">
        <f>ROUND((P359*T364*F359*O359/1000000),4)</f>
        <v>4.8174999999999999</v>
      </c>
      <c r="AA364" s="276">
        <f>ROUND((Q359*U364*F359*O359/1000000),4)</f>
        <v>2.6406000000000001</v>
      </c>
      <c r="AB364" s="276">
        <f>ROUND((R359*V364*F359*O359/1000000),4)</f>
        <v>2.9302000000000001</v>
      </c>
      <c r="AC364" s="277" t="s">
        <v>157</v>
      </c>
      <c r="AD364" s="278" t="s">
        <v>153</v>
      </c>
      <c r="AE364" s="40">
        <f>ROUND((((X364*E359)/1800)),4)</f>
        <v>7.6499999999999999E-2</v>
      </c>
      <c r="AF364" s="40">
        <f>ROUND(((Z364+AA364+AB364)),4)</f>
        <v>10.388299999999999</v>
      </c>
      <c r="AG364" s="254"/>
      <c r="AH364" s="254"/>
    </row>
    <row r="365" spans="1:34" s="61" customFormat="1" ht="15" customHeight="1" x14ac:dyDescent="0.25">
      <c r="A365" s="289"/>
      <c r="B365" s="274" t="s">
        <v>572</v>
      </c>
      <c r="C365" s="274">
        <v>6</v>
      </c>
      <c r="D365" s="38" t="s">
        <v>556</v>
      </c>
      <c r="E365" s="38">
        <v>1</v>
      </c>
      <c r="F365" s="38">
        <v>28</v>
      </c>
      <c r="G365" s="38">
        <v>6</v>
      </c>
      <c r="H365" s="38">
        <v>60</v>
      </c>
      <c r="I365" s="38">
        <f>(8-1-0.75*2)*60*F365-K365-8*0.12*60</f>
        <v>3176.4</v>
      </c>
      <c r="J365" s="38">
        <v>14</v>
      </c>
      <c r="K365" s="38">
        <f>(8-1-0.75*2)*0.65*60*F365</f>
        <v>6006</v>
      </c>
      <c r="L365" s="38">
        <v>6.47</v>
      </c>
      <c r="M365" s="38">
        <v>6.47</v>
      </c>
      <c r="N365" s="38">
        <v>10</v>
      </c>
      <c r="O365" s="38">
        <f>E365/F365</f>
        <v>3.5714285714285712E-2</v>
      </c>
      <c r="P365" s="38">
        <v>180</v>
      </c>
      <c r="Q365" s="38">
        <v>90</v>
      </c>
      <c r="R365" s="275">
        <v>90</v>
      </c>
      <c r="S365" s="275">
        <v>1.27</v>
      </c>
      <c r="T365" s="38">
        <f>ROUND((L365*I365+1.3*L365*K365+S365*H365),4)</f>
        <v>71143.974000000002</v>
      </c>
      <c r="U365" s="38">
        <f>ROUND((M365*I365+1.3*M365*K365+S365*H365),4)</f>
        <v>71143.974000000002</v>
      </c>
      <c r="V365" s="38">
        <f>ROUND((M365*I365+1.3*M365*K365+S365*H365),4)</f>
        <v>71143.974000000002</v>
      </c>
      <c r="W365" s="38">
        <f>ROUND((L365*J365+1.3*L365*N365+S365*G365),4)</f>
        <v>182.31</v>
      </c>
      <c r="X365" s="38">
        <f>ROUND((M365*J365+1.3*M365*N365+S365*G365),4)</f>
        <v>182.31</v>
      </c>
      <c r="Y365" s="38">
        <f>ROUND((M365*J365+1.3*M365*N365+S365*G365),4)</f>
        <v>182.31</v>
      </c>
      <c r="Z365" s="276">
        <f>ROUND((P365*T365*F365*O365/1000000),4)</f>
        <v>12.805899999999999</v>
      </c>
      <c r="AA365" s="276">
        <f>ROUND((Q365*U365*F365*O365/1000000),4)</f>
        <v>6.4029999999999996</v>
      </c>
      <c r="AB365" s="276">
        <f>ROUND((R365*V365*F365*O365/1000000),4)</f>
        <v>6.4029999999999996</v>
      </c>
      <c r="AC365" s="277" t="s">
        <v>165</v>
      </c>
      <c r="AD365" s="278" t="s">
        <v>144</v>
      </c>
      <c r="AE365" s="40">
        <f>ROUND((((X365*E365)/1800)*0.8),4)</f>
        <v>8.1000000000000003E-2</v>
      </c>
      <c r="AF365" s="40">
        <f>ROUND(((Z365+AA365+AB365)*0.8),4)</f>
        <v>20.4895</v>
      </c>
      <c r="AG365" s="254"/>
      <c r="AH365" s="254"/>
    </row>
    <row r="366" spans="1:34" s="61" customFormat="1" ht="15" customHeight="1" x14ac:dyDescent="0.25">
      <c r="A366" s="289"/>
      <c r="B366" s="280" t="s">
        <v>573</v>
      </c>
      <c r="C366" s="39"/>
      <c r="D366" s="39"/>
      <c r="E366" s="39"/>
      <c r="F366" s="39"/>
      <c r="G366" s="39"/>
      <c r="H366" s="39"/>
      <c r="I366" s="39"/>
      <c r="J366" s="39"/>
      <c r="K366" s="39"/>
      <c r="L366" s="119"/>
      <c r="M366" s="119"/>
      <c r="N366" s="39"/>
      <c r="O366" s="39"/>
      <c r="P366" s="39"/>
      <c r="Q366" s="39"/>
      <c r="R366" s="39"/>
      <c r="S366" s="281"/>
      <c r="T366" s="39"/>
      <c r="U366" s="39"/>
      <c r="V366" s="39"/>
      <c r="W366" s="39"/>
      <c r="X366" s="39"/>
      <c r="Y366" s="39"/>
      <c r="Z366" s="39"/>
      <c r="AA366" s="39"/>
      <c r="AB366" s="39"/>
      <c r="AC366" s="277" t="s">
        <v>166</v>
      </c>
      <c r="AD366" s="278" t="s">
        <v>167</v>
      </c>
      <c r="AE366" s="40">
        <f>ROUND((((X365*E365)/1800)*0.13),4)</f>
        <v>1.32E-2</v>
      </c>
      <c r="AF366" s="40">
        <f>ROUND(((Z365+AA365+AB365)*0.13),4)</f>
        <v>3.3294999999999999</v>
      </c>
      <c r="AG366" s="254"/>
      <c r="AH366" s="254"/>
    </row>
    <row r="367" spans="1:34" s="61" customFormat="1" ht="15" customHeight="1" x14ac:dyDescent="0.25">
      <c r="A367" s="289"/>
      <c r="B367" s="287"/>
      <c r="C367" s="283"/>
      <c r="D367" s="283"/>
      <c r="E367" s="39"/>
      <c r="F367" s="39"/>
      <c r="G367" s="39"/>
      <c r="H367" s="39"/>
      <c r="I367" s="39"/>
      <c r="J367" s="39"/>
      <c r="K367" s="39"/>
      <c r="L367" s="40">
        <v>0.51</v>
      </c>
      <c r="M367" s="40">
        <v>0.63</v>
      </c>
      <c r="N367" s="39"/>
      <c r="O367" s="39"/>
      <c r="P367" s="39"/>
      <c r="Q367" s="39"/>
      <c r="R367" s="39"/>
      <c r="S367" s="284">
        <v>0.25</v>
      </c>
      <c r="T367" s="38">
        <f>ROUND((L367*I365+1.3*L367*K365+S367*H365),4)</f>
        <v>5616.942</v>
      </c>
      <c r="U367" s="38">
        <f>ROUND((M367*0.9*I365+1.3*M367*0.9*K365+S367*H365),4)</f>
        <v>6243.0414000000001</v>
      </c>
      <c r="V367" s="38">
        <f>ROUND((M367*I365+1.3*M367*K365+S367*H365),4)</f>
        <v>6935.0460000000003</v>
      </c>
      <c r="W367" s="38">
        <f>ROUND((L367*J365+1.3*L367*N365+S367*G365),4)</f>
        <v>15.27</v>
      </c>
      <c r="X367" s="38">
        <f>ROUND((M367*0.9*J365+1.3*M367*0.9*N365+S367*G365),4)</f>
        <v>16.809000000000001</v>
      </c>
      <c r="Y367" s="38">
        <f>ROUND((M367*J365+1.3*M367*N365+S367*G365),4)</f>
        <v>18.510000000000002</v>
      </c>
      <c r="Z367" s="276">
        <f>ROUND((P365*T367*F365*O365/1000000),4)</f>
        <v>1.0109999999999999</v>
      </c>
      <c r="AA367" s="276">
        <f>ROUND((Q365*U367*F365*O365/1000000),4)</f>
        <v>0.56189999999999996</v>
      </c>
      <c r="AB367" s="276">
        <f>ROUND((R365*V367*F365*O365/1000000),4)</f>
        <v>0.62419999999999998</v>
      </c>
      <c r="AC367" s="277" t="s">
        <v>547</v>
      </c>
      <c r="AD367" s="278" t="s">
        <v>169</v>
      </c>
      <c r="AE367" s="40">
        <f>ROUND((((X367*E365)/1800)),4)</f>
        <v>9.2999999999999992E-3</v>
      </c>
      <c r="AF367" s="40">
        <f>ROUND(((Z367+AA367+AB367)),5)</f>
        <v>2.1970999999999998</v>
      </c>
      <c r="AG367" s="254"/>
      <c r="AH367" s="254"/>
    </row>
    <row r="368" spans="1:34" s="61" customFormat="1" ht="15" customHeight="1" x14ac:dyDescent="0.25">
      <c r="A368" s="289"/>
      <c r="B368" s="280"/>
      <c r="C368" s="39"/>
      <c r="D368" s="39"/>
      <c r="E368" s="39"/>
      <c r="F368" s="39"/>
      <c r="G368" s="39"/>
      <c r="H368" s="39"/>
      <c r="I368" s="39"/>
      <c r="J368" s="39"/>
      <c r="K368" s="39"/>
      <c r="L368" s="40">
        <v>1.1399999999999999</v>
      </c>
      <c r="M368" s="40">
        <v>1.37</v>
      </c>
      <c r="N368" s="39"/>
      <c r="O368" s="39"/>
      <c r="P368" s="39"/>
      <c r="Q368" s="39"/>
      <c r="R368" s="39"/>
      <c r="S368" s="285">
        <v>0.79</v>
      </c>
      <c r="T368" s="38">
        <f>ROUND((L368*I365+1.3*L368*K365+S368*H365),4)</f>
        <v>12569.388000000001</v>
      </c>
      <c r="U368" s="38">
        <f>ROUND((M368*0.9*I365+1.3*M368*0.9*K365+S368*H365),4)</f>
        <v>13590.918600000001</v>
      </c>
      <c r="V368" s="38">
        <f>ROUND((M368*I365+1.3*M368*K365+S368*H365),4)</f>
        <v>15095.754000000001</v>
      </c>
      <c r="W368" s="38">
        <f>ROUND((L368*J365+1.3*L368*N365+S368*G365),4)</f>
        <v>35.520000000000003</v>
      </c>
      <c r="X368" s="38">
        <f>ROUND((M368*0.9*J365+1.3*M368*0.9*N365+S368*G365),4)</f>
        <v>38.030999999999999</v>
      </c>
      <c r="Y368" s="38">
        <f>ROUND((M368*J365+1.3*N365+S368*G365),4)</f>
        <v>36.92</v>
      </c>
      <c r="Z368" s="276">
        <f>ROUND((P365*T368*F365*O365/1000000),4)</f>
        <v>2.2625000000000002</v>
      </c>
      <c r="AA368" s="276">
        <f>ROUND((Q365*U368*F365*O365/1000000),4)</f>
        <v>1.2232000000000001</v>
      </c>
      <c r="AB368" s="276">
        <f>ROUND((R365*V368*F365*O365/1000000),4)</f>
        <v>1.3586</v>
      </c>
      <c r="AC368" s="277" t="s">
        <v>548</v>
      </c>
      <c r="AD368" s="278" t="s">
        <v>549</v>
      </c>
      <c r="AE368" s="40">
        <f>ROUND((((X368*E365)/1800)),4)</f>
        <v>2.1100000000000001E-2</v>
      </c>
      <c r="AF368" s="40">
        <f>ROUND(((Z368+AA368+AB368)),4)</f>
        <v>4.8442999999999996</v>
      </c>
      <c r="AG368" s="254"/>
      <c r="AH368" s="254"/>
    </row>
    <row r="369" spans="1:34" s="61" customFormat="1" ht="15" customHeight="1" x14ac:dyDescent="0.25">
      <c r="A369" s="289"/>
      <c r="B369" s="280"/>
      <c r="C369" s="39"/>
      <c r="D369" s="39"/>
      <c r="E369" s="39"/>
      <c r="F369" s="39"/>
      <c r="G369" s="39"/>
      <c r="H369" s="39"/>
      <c r="I369" s="39"/>
      <c r="J369" s="39"/>
      <c r="K369" s="39"/>
      <c r="L369" s="40">
        <v>0.72</v>
      </c>
      <c r="M369" s="40">
        <v>1.08</v>
      </c>
      <c r="N369" s="39"/>
      <c r="O369" s="39"/>
      <c r="P369" s="39"/>
      <c r="Q369" s="39"/>
      <c r="R369" s="39"/>
      <c r="S369" s="285">
        <v>0.17</v>
      </c>
      <c r="T369" s="38">
        <f>ROUND((L369*I365+1.3*L369*K365+S369*H365),4)</f>
        <v>7918.8239999999996</v>
      </c>
      <c r="U369" s="38">
        <f>ROUND((M369*0.9*I365+1.3*M369*0.9*K365+S369*H365),4)</f>
        <v>10686.8424</v>
      </c>
      <c r="V369" s="38">
        <f>ROUND((M369*I365+1.3*M369*K365+S369*H365),4)</f>
        <v>11873.136</v>
      </c>
      <c r="W369" s="38">
        <f>ROUND((L369*J365+1.3*L369*N365+S369*G365),4)</f>
        <v>20.46</v>
      </c>
      <c r="X369" s="38">
        <f>ROUND((M369*0.9*J365+1.3*M369*0.9*N365+S369*G365),4)</f>
        <v>27.263999999999999</v>
      </c>
      <c r="Y369" s="38">
        <f>ROUND((M369*J365+1.3*M369*N365+S369*G365),4)</f>
        <v>30.18</v>
      </c>
      <c r="Z369" s="276">
        <f>ROUND((P365*T369*F365*O365/1000000),4)</f>
        <v>1.4254</v>
      </c>
      <c r="AA369" s="276">
        <f>ROUND((Q365*U369*F365*O365/1000000),4)</f>
        <v>0.96179999999999999</v>
      </c>
      <c r="AB369" s="276">
        <f>ROUND((R365*V369*F365*O365/1000000),4)</f>
        <v>1.0686</v>
      </c>
      <c r="AC369" s="277" t="s">
        <v>172</v>
      </c>
      <c r="AD369" s="278" t="s">
        <v>173</v>
      </c>
      <c r="AE369" s="40">
        <f>ROUND((((X369*E365)/1800)),4)</f>
        <v>1.5100000000000001E-2</v>
      </c>
      <c r="AF369" s="40">
        <f>ROUND(((Z369+AA369+AB369)),4)</f>
        <v>3.4558</v>
      </c>
      <c r="AG369" s="254"/>
      <c r="AH369" s="254"/>
    </row>
    <row r="370" spans="1:34" s="61" customFormat="1" ht="15" customHeight="1" x14ac:dyDescent="0.25">
      <c r="A370" s="289"/>
      <c r="B370" s="286"/>
      <c r="C370" s="119"/>
      <c r="D370" s="119"/>
      <c r="E370" s="119"/>
      <c r="F370" s="119"/>
      <c r="G370" s="119"/>
      <c r="H370" s="119"/>
      <c r="I370" s="119"/>
      <c r="J370" s="119"/>
      <c r="K370" s="119"/>
      <c r="L370" s="40">
        <v>3.37</v>
      </c>
      <c r="M370" s="40">
        <v>4.1100000000000003</v>
      </c>
      <c r="N370" s="119"/>
      <c r="O370" s="119"/>
      <c r="P370" s="119"/>
      <c r="Q370" s="119"/>
      <c r="R370" s="119"/>
      <c r="S370" s="285">
        <v>6.31</v>
      </c>
      <c r="T370" s="38">
        <f>ROUND((L370*I365+1.3*L370*K365+S370*H365),4)</f>
        <v>37395.353999999999</v>
      </c>
      <c r="U370" s="38">
        <f>ROUND((M370*0.9*I365+1.3*M370*0.9*K365+S370*H365),4)</f>
        <v>41009.1558</v>
      </c>
      <c r="V370" s="38">
        <f>ROUND((M370*I365+1.3*M370*K365+S370*H365),4)</f>
        <v>45523.661999999997</v>
      </c>
      <c r="W370" s="38">
        <f>ROUND((L370*J365+1.3*L370*N365+S370*G365),4)</f>
        <v>128.85</v>
      </c>
      <c r="X370" s="38">
        <f>ROUND((M370*0.9*J365+1.3*M370*0.9*N365+S370*G365),4)</f>
        <v>137.733</v>
      </c>
      <c r="Y370" s="38">
        <f>ROUND((M370*J365+1.3*M370*N365+S370*G365),4)</f>
        <v>148.83000000000001</v>
      </c>
      <c r="Z370" s="276">
        <f>ROUND((P365*T370*F365*O365/1000000),4)</f>
        <v>6.7312000000000003</v>
      </c>
      <c r="AA370" s="276">
        <f>ROUND((Q365*U370*F365*O365/1000000),4)</f>
        <v>3.6907999999999999</v>
      </c>
      <c r="AB370" s="276">
        <f>ROUND((R365*V370*F365*O365/1000000),4)</f>
        <v>4.0971000000000002</v>
      </c>
      <c r="AC370" s="277" t="s">
        <v>157</v>
      </c>
      <c r="AD370" s="278" t="s">
        <v>153</v>
      </c>
      <c r="AE370" s="40">
        <f>ROUND((((X370*E365)/1800)),4)</f>
        <v>7.6499999999999999E-2</v>
      </c>
      <c r="AF370" s="40">
        <f>ROUND(((Z370+AA370+AB370)),4)</f>
        <v>14.5191</v>
      </c>
      <c r="AG370" s="254"/>
      <c r="AH370" s="254"/>
    </row>
    <row r="371" spans="1:34" s="61" customFormat="1" ht="15" customHeight="1" x14ac:dyDescent="0.25">
      <c r="A371" s="260"/>
      <c r="B371" s="1478" t="s">
        <v>574</v>
      </c>
      <c r="C371" s="274">
        <v>5</v>
      </c>
      <c r="D371" s="38" t="s">
        <v>552</v>
      </c>
      <c r="E371" s="38">
        <v>1</v>
      </c>
      <c r="F371" s="38">
        <v>15</v>
      </c>
      <c r="G371" s="38">
        <v>6</v>
      </c>
      <c r="H371" s="38">
        <v>60</v>
      </c>
      <c r="I371" s="38">
        <f>(8-1-0.75*2)*60*F371-K371-8*0.12*60</f>
        <v>1674.9</v>
      </c>
      <c r="J371" s="38">
        <v>14</v>
      </c>
      <c r="K371" s="38">
        <f>(8-1-0.75*2)*0.65*60*F371</f>
        <v>3217.5</v>
      </c>
      <c r="L371" s="38">
        <v>4.01</v>
      </c>
      <c r="M371" s="38">
        <v>4.01</v>
      </c>
      <c r="N371" s="38">
        <v>10</v>
      </c>
      <c r="O371" s="38">
        <f>E371/F371</f>
        <v>6.6666666666666666E-2</v>
      </c>
      <c r="P371" s="38">
        <v>180</v>
      </c>
      <c r="Q371" s="38">
        <v>90</v>
      </c>
      <c r="R371" s="275">
        <v>90</v>
      </c>
      <c r="S371" s="275">
        <v>0.78</v>
      </c>
      <c r="T371" s="38">
        <f>ROUND((L371*I371+1.3*L371*K371+S371*H371),4)</f>
        <v>23535.976500000001</v>
      </c>
      <c r="U371" s="38">
        <f>ROUND((M371*I371+1.3*M371*K371+S371*H371),4)</f>
        <v>23535.976500000001</v>
      </c>
      <c r="V371" s="38">
        <f>ROUND((M371*I371+1.3*M371*K371+S371*H371),4)</f>
        <v>23535.976500000001</v>
      </c>
      <c r="W371" s="38">
        <f>ROUND((L371*J371+1.3*L371*N371+S371*G371),4)</f>
        <v>112.95</v>
      </c>
      <c r="X371" s="38">
        <f>ROUND((M371*J371+1.3*M371*N371+S371*G371),4)</f>
        <v>112.95</v>
      </c>
      <c r="Y371" s="38">
        <f>ROUND((M371*J371+1.3*M371*N371+S371*G371),4)</f>
        <v>112.95</v>
      </c>
      <c r="Z371" s="276">
        <f>ROUND((P371*T371*F371*O371/1000000),4)</f>
        <v>4.2365000000000004</v>
      </c>
      <c r="AA371" s="276">
        <f>ROUND((Q371*U371*F371*O371/1000000),4)</f>
        <v>2.1181999999999999</v>
      </c>
      <c r="AB371" s="276">
        <f>ROUND((R371*V371*F371*O371/1000000),4)</f>
        <v>2.1181999999999999</v>
      </c>
      <c r="AC371" s="277" t="s">
        <v>165</v>
      </c>
      <c r="AD371" s="278" t="s">
        <v>144</v>
      </c>
      <c r="AE371" s="40">
        <f>ROUND((((X371*E371)/1800)*0.8),4)</f>
        <v>5.0200000000000002E-2</v>
      </c>
      <c r="AF371" s="40">
        <f>ROUND(((Z371+AA371+AB371)*0.8),4)</f>
        <v>6.7782999999999998</v>
      </c>
      <c r="AG371" s="288"/>
      <c r="AH371" s="254"/>
    </row>
    <row r="372" spans="1:34" s="61" customFormat="1" ht="15" customHeight="1" x14ac:dyDescent="0.25">
      <c r="A372" s="260"/>
      <c r="B372" s="1634"/>
      <c r="C372" s="280"/>
      <c r="D372" s="39"/>
      <c r="E372" s="39"/>
      <c r="F372" s="39"/>
      <c r="G372" s="39"/>
      <c r="H372" s="39"/>
      <c r="I372" s="39"/>
      <c r="J372" s="39"/>
      <c r="K372" s="39"/>
      <c r="L372" s="119"/>
      <c r="M372" s="119"/>
      <c r="N372" s="39"/>
      <c r="O372" s="39"/>
      <c r="P372" s="39"/>
      <c r="Q372" s="39"/>
      <c r="R372" s="39"/>
      <c r="S372" s="281"/>
      <c r="T372" s="39"/>
      <c r="U372" s="39"/>
      <c r="V372" s="39"/>
      <c r="W372" s="39"/>
      <c r="X372" s="39"/>
      <c r="Y372" s="39"/>
      <c r="Z372" s="39"/>
      <c r="AA372" s="39"/>
      <c r="AB372" s="39"/>
      <c r="AC372" s="277" t="s">
        <v>166</v>
      </c>
      <c r="AD372" s="278" t="s">
        <v>167</v>
      </c>
      <c r="AE372" s="40">
        <f>ROUND((((X371*E371)/1800)*0.13),4)</f>
        <v>8.2000000000000007E-3</v>
      </c>
      <c r="AF372" s="40">
        <f>ROUND(((Z371+AA371+AB371)*0.13),4)</f>
        <v>1.1014999999999999</v>
      </c>
      <c r="AG372" s="288"/>
      <c r="AH372" s="254"/>
    </row>
    <row r="373" spans="1:34" s="61" customFormat="1" ht="15" customHeight="1" x14ac:dyDescent="0.25">
      <c r="A373" s="260"/>
      <c r="B373" s="279" t="s">
        <v>575</v>
      </c>
      <c r="C373" s="282"/>
      <c r="D373" s="283"/>
      <c r="E373" s="39"/>
      <c r="F373" s="39"/>
      <c r="G373" s="39"/>
      <c r="H373" s="39"/>
      <c r="I373" s="39"/>
      <c r="J373" s="39"/>
      <c r="K373" s="39"/>
      <c r="L373" s="40">
        <v>0.31</v>
      </c>
      <c r="M373" s="40">
        <v>0.38</v>
      </c>
      <c r="N373" s="39"/>
      <c r="O373" s="39"/>
      <c r="P373" s="39"/>
      <c r="Q373" s="39"/>
      <c r="R373" s="39"/>
      <c r="S373" s="284">
        <v>0.16</v>
      </c>
      <c r="T373" s="38">
        <f>ROUND((L373*I371+1.3*L373*K371+S373*H371),4)</f>
        <v>1825.4715000000001</v>
      </c>
      <c r="U373" s="38">
        <f>ROUND((M373*0.9*I371+1.3*M373*0.9*K371+S373*H371),4)</f>
        <v>2012.9163000000001</v>
      </c>
      <c r="V373" s="38">
        <f>ROUND((M373*I371+1.3*M373*K371+S373*H371),4)</f>
        <v>2235.5070000000001</v>
      </c>
      <c r="W373" s="38">
        <f>ROUND((L373*J371+1.3*L373*N371+S373*G371),4)</f>
        <v>9.33</v>
      </c>
      <c r="X373" s="38">
        <f>ROUND((M373*0.9*J371+1.3*M373*0.9*N371+S373*G371),4)</f>
        <v>10.194000000000001</v>
      </c>
      <c r="Y373" s="38">
        <f>ROUND((M373*J371+1.3*M373*N371+S373*G371),4)</f>
        <v>11.22</v>
      </c>
      <c r="Z373" s="276">
        <f>ROUND((P371*T373*F371*O371/1000000),4)</f>
        <v>0.3286</v>
      </c>
      <c r="AA373" s="276">
        <f>ROUND((Q371*U373*F371*O371/1000000),4)</f>
        <v>0.1812</v>
      </c>
      <c r="AB373" s="276">
        <f>ROUND((R371*V373*F371*O371/1000000),4)</f>
        <v>0.20119999999999999</v>
      </c>
      <c r="AC373" s="277" t="s">
        <v>547</v>
      </c>
      <c r="AD373" s="278" t="s">
        <v>169</v>
      </c>
      <c r="AE373" s="40">
        <f>ROUND((((X373*E371)/1800)),4)</f>
        <v>5.7000000000000002E-3</v>
      </c>
      <c r="AF373" s="40">
        <f>ROUND(((Z373+AA373+AB373)),5)</f>
        <v>0.71099999999999997</v>
      </c>
      <c r="AG373" s="288"/>
      <c r="AH373" s="254"/>
    </row>
    <row r="374" spans="1:34" s="61" customFormat="1" ht="15" customHeight="1" x14ac:dyDescent="0.25">
      <c r="A374" s="260"/>
      <c r="B374" s="280"/>
      <c r="C374" s="280"/>
      <c r="D374" s="39"/>
      <c r="E374" s="39"/>
      <c r="F374" s="39"/>
      <c r="G374" s="39"/>
      <c r="H374" s="39"/>
      <c r="I374" s="39"/>
      <c r="J374" s="39"/>
      <c r="K374" s="39"/>
      <c r="L374" s="40">
        <v>0.71</v>
      </c>
      <c r="M374" s="40">
        <v>0.85</v>
      </c>
      <c r="N374" s="39"/>
      <c r="O374" s="39"/>
      <c r="P374" s="39"/>
      <c r="Q374" s="39"/>
      <c r="R374" s="39"/>
      <c r="S374" s="285">
        <v>0.49</v>
      </c>
      <c r="T374" s="38">
        <f>ROUND((L374*I371+1.3*L374*K371+S374*H371),4)</f>
        <v>4188.3315000000002</v>
      </c>
      <c r="U374" s="38">
        <f>ROUND((M374*0.9*I371+1.3*M374*0.9*K371+S374*H371),4)</f>
        <v>4510.5023000000001</v>
      </c>
      <c r="V374" s="38">
        <f>ROUND((M374*I371+1.3*M374*K371+S374*H371),4)</f>
        <v>5008.4025000000001</v>
      </c>
      <c r="W374" s="38">
        <f>ROUND((L374*J371+1.3*L374*N371+S374*G371),4)</f>
        <v>22.11</v>
      </c>
      <c r="X374" s="38">
        <f>ROUND((M374*0.9*J371+1.3*M374*0.9*N371+S374*G371),4)</f>
        <v>23.594999999999999</v>
      </c>
      <c r="Y374" s="38">
        <f>ROUND((M374*J371+1.3*N371+S374*G371),4)</f>
        <v>27.84</v>
      </c>
      <c r="Z374" s="276">
        <f>ROUND((P371*T374*F371*O371/1000000),4)</f>
        <v>0.75390000000000001</v>
      </c>
      <c r="AA374" s="276">
        <f>ROUND((Q371*U374*F371*O371/1000000),4)</f>
        <v>0.40589999999999998</v>
      </c>
      <c r="AB374" s="276">
        <f>ROUND((R371*V374*F371*O371/1000000),4)</f>
        <v>0.45079999999999998</v>
      </c>
      <c r="AC374" s="277" t="s">
        <v>548</v>
      </c>
      <c r="AD374" s="278" t="s">
        <v>549</v>
      </c>
      <c r="AE374" s="40">
        <f>ROUND((((X374*E371)/1800)),4)</f>
        <v>1.3100000000000001E-2</v>
      </c>
      <c r="AF374" s="40">
        <f>ROUND(((Z374+AA374+AB374)),4)</f>
        <v>1.6106</v>
      </c>
      <c r="AG374" s="288"/>
      <c r="AH374" s="254"/>
    </row>
    <row r="375" spans="1:34" s="61" customFormat="1" ht="15" customHeight="1" x14ac:dyDescent="0.25">
      <c r="A375" s="260"/>
      <c r="B375" s="280"/>
      <c r="C375" s="280"/>
      <c r="D375" s="39"/>
      <c r="E375" s="39"/>
      <c r="F375" s="39"/>
      <c r="G375" s="39"/>
      <c r="H375" s="39"/>
      <c r="I375" s="39"/>
      <c r="J375" s="39"/>
      <c r="K375" s="39"/>
      <c r="L375" s="40">
        <v>0.45</v>
      </c>
      <c r="M375" s="40">
        <v>0.67</v>
      </c>
      <c r="N375" s="39"/>
      <c r="O375" s="39"/>
      <c r="P375" s="39"/>
      <c r="Q375" s="39"/>
      <c r="R375" s="39"/>
      <c r="S375" s="285">
        <v>0.1</v>
      </c>
      <c r="T375" s="38">
        <f>ROUND((L375*I371+1.3*L375*K371+S375*H371),4)</f>
        <v>2641.9425000000001</v>
      </c>
      <c r="U375" s="38">
        <f>ROUND((M375*0.9*I371+1.3*M375*0.9*K371+S375*H371),4)</f>
        <v>3538.163</v>
      </c>
      <c r="V375" s="38">
        <f>ROUND((M375*I371+1.3*M375*K371+S375*H371),4)</f>
        <v>3930.6255000000001</v>
      </c>
      <c r="W375" s="38">
        <f>ROUND((L375*J371+1.3*L375*N371+S375*G371),4)</f>
        <v>12.75</v>
      </c>
      <c r="X375" s="38">
        <f>ROUND((M375*0.9*J371+1.3*M375*0.9*N371+S375*G371),4)</f>
        <v>16.881</v>
      </c>
      <c r="Y375" s="38">
        <f>ROUND((M375*J371+1.3*M375*N371+S375*G371),4)</f>
        <v>18.690000000000001</v>
      </c>
      <c r="Z375" s="276">
        <f>ROUND((P371*T375*F371*O371/1000000),4)</f>
        <v>0.47549999999999998</v>
      </c>
      <c r="AA375" s="276">
        <f>ROUND((Q371*U375*F371*O371/1000000),4)</f>
        <v>0.31840000000000002</v>
      </c>
      <c r="AB375" s="276">
        <f>ROUND((R371*V375*F371*O371/1000000),4)</f>
        <v>0.3538</v>
      </c>
      <c r="AC375" s="277" t="s">
        <v>172</v>
      </c>
      <c r="AD375" s="278" t="s">
        <v>173</v>
      </c>
      <c r="AE375" s="40">
        <f>ROUND((((X375*E371)/1800)),4)</f>
        <v>9.4000000000000004E-3</v>
      </c>
      <c r="AF375" s="40">
        <f>ROUND(((Z375+AA375+AB375)),4)</f>
        <v>1.1476999999999999</v>
      </c>
      <c r="AG375" s="288"/>
      <c r="AH375" s="254"/>
    </row>
    <row r="376" spans="1:34" s="61" customFormat="1" ht="15" customHeight="1" x14ac:dyDescent="0.25">
      <c r="A376" s="260"/>
      <c r="B376" s="286"/>
      <c r="C376" s="286"/>
      <c r="D376" s="119"/>
      <c r="E376" s="119"/>
      <c r="F376" s="119"/>
      <c r="G376" s="119"/>
      <c r="H376" s="119"/>
      <c r="I376" s="119"/>
      <c r="J376" s="119"/>
      <c r="K376" s="119"/>
      <c r="L376" s="40">
        <v>2.09</v>
      </c>
      <c r="M376" s="40">
        <v>2.5499999999999998</v>
      </c>
      <c r="N376" s="119"/>
      <c r="O376" s="119"/>
      <c r="P376" s="119"/>
      <c r="Q376" s="119"/>
      <c r="R376" s="119"/>
      <c r="S376" s="285">
        <v>3.91</v>
      </c>
      <c r="T376" s="38">
        <f>ROUND((L376*I371+1.3*L376*K371+S376*H371),4)</f>
        <v>12477.0885</v>
      </c>
      <c r="U376" s="38">
        <f>ROUND((M376*0.9*I371+1.3*M376*0.9*K371+S376*H371),4)</f>
        <v>13677.906800000001</v>
      </c>
      <c r="V376" s="38">
        <f>ROUND((M376*I371+1.3*M376*K371+S376*H371),4)</f>
        <v>15171.6075</v>
      </c>
      <c r="W376" s="38">
        <f>ROUND((L376*J371+1.3*L376*N371+S376*G371),4)</f>
        <v>79.89</v>
      </c>
      <c r="X376" s="38">
        <f>ROUND((M376*0.9*J371+1.3*M376*0.9*N371+S376*G371),4)</f>
        <v>85.424999999999997</v>
      </c>
      <c r="Y376" s="38">
        <f>ROUND((M376*J371+1.3*M376*N371+S376*G371),4)</f>
        <v>92.31</v>
      </c>
      <c r="Z376" s="276">
        <f>ROUND((P371*T376*F371*O371/1000000),4)</f>
        <v>2.2458999999999998</v>
      </c>
      <c r="AA376" s="276">
        <f>ROUND((Q371*U376*F371*O371/1000000),4)</f>
        <v>1.2310000000000001</v>
      </c>
      <c r="AB376" s="276">
        <f>ROUND((R371*V376*F371*O371/1000000),4)</f>
        <v>1.3653999999999999</v>
      </c>
      <c r="AC376" s="277" t="s">
        <v>157</v>
      </c>
      <c r="AD376" s="278" t="s">
        <v>153</v>
      </c>
      <c r="AE376" s="40">
        <f>ROUND((((X376*E371)/1800)),4)</f>
        <v>4.7500000000000001E-2</v>
      </c>
      <c r="AF376" s="40">
        <f>ROUND(((Z376+AA376+AB376)),4)</f>
        <v>4.8422999999999998</v>
      </c>
      <c r="AG376" s="288"/>
      <c r="AH376" s="254"/>
    </row>
    <row r="377" spans="1:34" s="61" customFormat="1" ht="15" customHeight="1" x14ac:dyDescent="0.25">
      <c r="A377" s="290"/>
      <c r="B377" s="274" t="s">
        <v>576</v>
      </c>
      <c r="C377" s="274">
        <v>6</v>
      </c>
      <c r="D377" s="38" t="s">
        <v>556</v>
      </c>
      <c r="E377" s="38">
        <v>1</v>
      </c>
      <c r="F377" s="38">
        <v>15</v>
      </c>
      <c r="G377" s="38">
        <v>6</v>
      </c>
      <c r="H377" s="38">
        <v>60</v>
      </c>
      <c r="I377" s="38">
        <f>(8-1-0.75*2)*60*F377-K377-8*0.12*60</f>
        <v>1674.9</v>
      </c>
      <c r="J377" s="38">
        <v>14</v>
      </c>
      <c r="K377" s="38">
        <f>(8-1-0.75*2)*0.65*60*F377</f>
        <v>3217.5</v>
      </c>
      <c r="L377" s="38">
        <v>6.47</v>
      </c>
      <c r="M377" s="38">
        <v>6.47</v>
      </c>
      <c r="N377" s="38">
        <v>10</v>
      </c>
      <c r="O377" s="38">
        <f>E377/F377</f>
        <v>6.6666666666666666E-2</v>
      </c>
      <c r="P377" s="38">
        <v>180</v>
      </c>
      <c r="Q377" s="38">
        <v>90</v>
      </c>
      <c r="R377" s="275">
        <v>90</v>
      </c>
      <c r="S377" s="275">
        <v>1.27</v>
      </c>
      <c r="T377" s="38">
        <f>ROUND((L377*I377+1.3*L377*K377+S377*H377),4)</f>
        <v>37975.195500000002</v>
      </c>
      <c r="U377" s="38">
        <f>ROUND((M377*I377+1.3*M377*K377+S377*H377),4)</f>
        <v>37975.195500000002</v>
      </c>
      <c r="V377" s="38">
        <f>ROUND((M377*I377+1.3*M377*K377+S377*H377),4)</f>
        <v>37975.195500000002</v>
      </c>
      <c r="W377" s="38">
        <f>ROUND((L377*J377+1.3*L377*N377+S377*G377),4)</f>
        <v>182.31</v>
      </c>
      <c r="X377" s="38">
        <f>ROUND((M377*J377+1.3*M377*N377+S377*G377),4)</f>
        <v>182.31</v>
      </c>
      <c r="Y377" s="38">
        <f>ROUND((M377*J377+1.3*M377*N377+S377*G377),4)</f>
        <v>182.31</v>
      </c>
      <c r="Z377" s="276">
        <f>ROUND((P377*T377*F377*O377/1000000),4)</f>
        <v>6.8354999999999997</v>
      </c>
      <c r="AA377" s="276">
        <f>ROUND((Q377*U377*F377*O377/1000000),4)</f>
        <v>3.4178000000000002</v>
      </c>
      <c r="AB377" s="276">
        <f>ROUND((R377*V377*F377*O377/1000000),4)</f>
        <v>3.4178000000000002</v>
      </c>
      <c r="AC377" s="277" t="s">
        <v>165</v>
      </c>
      <c r="AD377" s="278" t="s">
        <v>144</v>
      </c>
      <c r="AE377" s="40">
        <f>ROUND((((X377*E377)/1800)*0.8),4)</f>
        <v>8.1000000000000003E-2</v>
      </c>
      <c r="AF377" s="40">
        <f>ROUND(((Z377+AA377+AB377)*0.8),4)</f>
        <v>10.9369</v>
      </c>
      <c r="AG377" s="254"/>
      <c r="AH377" s="254"/>
    </row>
    <row r="378" spans="1:34" s="61" customFormat="1" ht="15" customHeight="1" x14ac:dyDescent="0.25">
      <c r="A378" s="290"/>
      <c r="B378" s="1634" t="s">
        <v>577</v>
      </c>
      <c r="C378" s="39"/>
      <c r="D378" s="39"/>
      <c r="E378" s="39"/>
      <c r="F378" s="39"/>
      <c r="G378" s="39"/>
      <c r="H378" s="39"/>
      <c r="I378" s="39"/>
      <c r="J378" s="39"/>
      <c r="K378" s="39"/>
      <c r="L378" s="119"/>
      <c r="M378" s="119"/>
      <c r="N378" s="39"/>
      <c r="O378" s="39"/>
      <c r="P378" s="39"/>
      <c r="Q378" s="39"/>
      <c r="R378" s="39"/>
      <c r="S378" s="281"/>
      <c r="T378" s="39"/>
      <c r="U378" s="39"/>
      <c r="V378" s="39"/>
      <c r="W378" s="39"/>
      <c r="X378" s="39"/>
      <c r="Y378" s="39"/>
      <c r="Z378" s="39"/>
      <c r="AA378" s="39"/>
      <c r="AB378" s="39"/>
      <c r="AC378" s="277" t="s">
        <v>166</v>
      </c>
      <c r="AD378" s="278" t="s">
        <v>167</v>
      </c>
      <c r="AE378" s="40">
        <f>ROUND((((X377*E377)/1800)*0.13),4)</f>
        <v>1.32E-2</v>
      </c>
      <c r="AF378" s="40">
        <f>ROUND(((Z377+AA377+AB377)*0.13),4)</f>
        <v>1.7771999999999999</v>
      </c>
      <c r="AG378" s="254"/>
      <c r="AH378" s="254"/>
    </row>
    <row r="379" spans="1:34" s="61" customFormat="1" ht="15" customHeight="1" x14ac:dyDescent="0.25">
      <c r="A379" s="290"/>
      <c r="B379" s="1634"/>
      <c r="C379" s="283"/>
      <c r="D379" s="283"/>
      <c r="E379" s="39"/>
      <c r="F379" s="39"/>
      <c r="G379" s="39"/>
      <c r="H379" s="39"/>
      <c r="I379" s="39"/>
      <c r="J379" s="39"/>
      <c r="K379" s="39"/>
      <c r="L379" s="40">
        <v>0.51</v>
      </c>
      <c r="M379" s="40">
        <v>0.63</v>
      </c>
      <c r="N379" s="39"/>
      <c r="O379" s="39"/>
      <c r="P379" s="39"/>
      <c r="Q379" s="39"/>
      <c r="R379" s="39"/>
      <c r="S379" s="284">
        <v>0.25</v>
      </c>
      <c r="T379" s="38">
        <f>ROUND((L379*I377+1.3*L379*K377+S379*H377),4)</f>
        <v>3002.4014999999999</v>
      </c>
      <c r="U379" s="38">
        <f>ROUND((M379*0.9*I377+1.3*M379*0.9*K377+S379*H377),4)</f>
        <v>3336.2876000000001</v>
      </c>
      <c r="V379" s="38">
        <f>ROUND((M379*I377+1.3*M379*K377+S379*H377),4)</f>
        <v>3705.3195000000001</v>
      </c>
      <c r="W379" s="38">
        <f>ROUND((L379*J377+1.3*L379*N377+S379*G377),4)</f>
        <v>15.27</v>
      </c>
      <c r="X379" s="38">
        <f>ROUND((M379*0.9*J377+1.3*M379*0.9*N377+S379*G377),4)</f>
        <v>16.809000000000001</v>
      </c>
      <c r="Y379" s="38">
        <f>ROUND((M379*J377+1.3*M379*N377+S379*G377),4)</f>
        <v>18.510000000000002</v>
      </c>
      <c r="Z379" s="276">
        <f>ROUND((P377*T379*F377*O377/1000000),4)</f>
        <v>0.54039999999999999</v>
      </c>
      <c r="AA379" s="276">
        <f>ROUND((Q377*U379*F377*O377/1000000),4)</f>
        <v>0.30030000000000001</v>
      </c>
      <c r="AB379" s="276">
        <f>ROUND((R377*V379*F377*O377/1000000),4)</f>
        <v>0.33350000000000002</v>
      </c>
      <c r="AC379" s="277" t="s">
        <v>547</v>
      </c>
      <c r="AD379" s="278" t="s">
        <v>169</v>
      </c>
      <c r="AE379" s="40">
        <f>ROUND((((X379*E377)/1800)),4)</f>
        <v>9.2999999999999992E-3</v>
      </c>
      <c r="AF379" s="40">
        <f>ROUND(((Z379+AA379+AB379)),5)</f>
        <v>1.1741999999999999</v>
      </c>
      <c r="AG379" s="254"/>
      <c r="AH379" s="254"/>
    </row>
    <row r="380" spans="1:34" s="61" customFormat="1" ht="15" customHeight="1" x14ac:dyDescent="0.25">
      <c r="A380" s="290"/>
      <c r="B380" s="280"/>
      <c r="C380" s="39"/>
      <c r="D380" s="39"/>
      <c r="E380" s="39"/>
      <c r="F380" s="39"/>
      <c r="G380" s="39"/>
      <c r="H380" s="39"/>
      <c r="I380" s="39"/>
      <c r="J380" s="39"/>
      <c r="K380" s="39"/>
      <c r="L380" s="40">
        <v>1.1399999999999999</v>
      </c>
      <c r="M380" s="40">
        <v>1.37</v>
      </c>
      <c r="N380" s="39"/>
      <c r="O380" s="39"/>
      <c r="P380" s="39"/>
      <c r="Q380" s="39"/>
      <c r="R380" s="39"/>
      <c r="S380" s="285">
        <v>0.79</v>
      </c>
      <c r="T380" s="38">
        <f>ROUND((L380*I377+1.3*L380*K377+S380*H377),4)</f>
        <v>6725.1210000000001</v>
      </c>
      <c r="U380" s="38">
        <f>ROUND((M380*0.9*I377+1.3*M380*0.9*K377+S380*H377),4)</f>
        <v>7269.8824999999997</v>
      </c>
      <c r="V380" s="38">
        <f>ROUND((M380*I377+1.3*M380*K377+S380*H377),4)</f>
        <v>8072.3805000000002</v>
      </c>
      <c r="W380" s="38">
        <f>ROUND((L380*J377+1.3*L380*N377+S380*G377),4)</f>
        <v>35.520000000000003</v>
      </c>
      <c r="X380" s="38">
        <f>ROUND((M380*0.9*J377+1.3*M380*0.9*N377+S380*G377),4)</f>
        <v>38.030999999999999</v>
      </c>
      <c r="Y380" s="38">
        <f>ROUND((M380*J377+1.3*N377+S380*G377),4)</f>
        <v>36.92</v>
      </c>
      <c r="Z380" s="276">
        <f>ROUND((P377*T380*F377*O377/1000000),4)</f>
        <v>1.2104999999999999</v>
      </c>
      <c r="AA380" s="276">
        <f>ROUND((Q377*U380*F377*O377/1000000),4)</f>
        <v>0.65429999999999999</v>
      </c>
      <c r="AB380" s="276">
        <f>ROUND((R377*V380*F377*O377/1000000),4)</f>
        <v>0.72650000000000003</v>
      </c>
      <c r="AC380" s="277" t="s">
        <v>548</v>
      </c>
      <c r="AD380" s="278" t="s">
        <v>549</v>
      </c>
      <c r="AE380" s="40">
        <f>ROUND((((X380*E377)/1800)),4)</f>
        <v>2.1100000000000001E-2</v>
      </c>
      <c r="AF380" s="40">
        <f>ROUND(((Z380+AA380+AB380)),4)</f>
        <v>2.5912999999999999</v>
      </c>
      <c r="AG380" s="254"/>
      <c r="AH380" s="254"/>
    </row>
    <row r="381" spans="1:34" s="61" customFormat="1" ht="15" customHeight="1" x14ac:dyDescent="0.25">
      <c r="A381" s="290"/>
      <c r="B381" s="280"/>
      <c r="C381" s="39"/>
      <c r="D381" s="39"/>
      <c r="E381" s="39"/>
      <c r="F381" s="39"/>
      <c r="G381" s="39"/>
      <c r="H381" s="39"/>
      <c r="I381" s="39"/>
      <c r="J381" s="39"/>
      <c r="K381" s="39"/>
      <c r="L381" s="40">
        <v>0.72</v>
      </c>
      <c r="M381" s="40">
        <v>1.08</v>
      </c>
      <c r="N381" s="39"/>
      <c r="O381" s="39"/>
      <c r="P381" s="39"/>
      <c r="Q381" s="39"/>
      <c r="R381" s="39"/>
      <c r="S381" s="285">
        <v>0.17</v>
      </c>
      <c r="T381" s="38">
        <f>ROUND((L381*I377+1.3*L381*K377+S381*H377),4)</f>
        <v>4227.7079999999996</v>
      </c>
      <c r="U381" s="38">
        <f>ROUND((M381*0.9*I377+1.3*M381*0.9*K377+S381*H377),4)</f>
        <v>5703.8357999999998</v>
      </c>
      <c r="V381" s="38">
        <f>ROUND((M381*I377+1.3*M381*K377+S381*H377),4)</f>
        <v>6336.4620000000004</v>
      </c>
      <c r="W381" s="38">
        <f>ROUND((L381*J377+1.3*L381*N377+S381*G377),4)</f>
        <v>20.46</v>
      </c>
      <c r="X381" s="38">
        <f>ROUND((M381*0.9*J377+1.3*M381*0.9*N377+S381*G377),4)</f>
        <v>27.263999999999999</v>
      </c>
      <c r="Y381" s="38">
        <f>ROUND((M381*J377+1.3*M381*N377+S381*G377),4)</f>
        <v>30.18</v>
      </c>
      <c r="Z381" s="276">
        <f>ROUND((P377*T381*F377*O377/1000000),4)</f>
        <v>0.76100000000000001</v>
      </c>
      <c r="AA381" s="276">
        <f>ROUND((Q377*U381*F377*O377/1000000),4)</f>
        <v>0.51329999999999998</v>
      </c>
      <c r="AB381" s="276">
        <f>ROUND((R377*V381*F377*O377/1000000),4)</f>
        <v>0.57030000000000003</v>
      </c>
      <c r="AC381" s="277" t="s">
        <v>172</v>
      </c>
      <c r="AD381" s="278" t="s">
        <v>173</v>
      </c>
      <c r="AE381" s="40">
        <f>ROUND((((X381*E377)/1800)),4)</f>
        <v>1.5100000000000001E-2</v>
      </c>
      <c r="AF381" s="40">
        <f>ROUND(((Z381+AA381+AB381)),4)</f>
        <v>1.8446</v>
      </c>
      <c r="AG381" s="254"/>
      <c r="AH381" s="254"/>
    </row>
    <row r="382" spans="1:34" s="61" customFormat="1" ht="15" customHeight="1" x14ac:dyDescent="0.25">
      <c r="A382" s="290"/>
      <c r="B382" s="286"/>
      <c r="C382" s="119"/>
      <c r="D382" s="119"/>
      <c r="E382" s="119"/>
      <c r="F382" s="119"/>
      <c r="G382" s="119"/>
      <c r="H382" s="119"/>
      <c r="I382" s="119"/>
      <c r="J382" s="119"/>
      <c r="K382" s="119"/>
      <c r="L382" s="40">
        <v>3.37</v>
      </c>
      <c r="M382" s="40">
        <v>4.1100000000000003</v>
      </c>
      <c r="N382" s="119"/>
      <c r="O382" s="119"/>
      <c r="P382" s="119"/>
      <c r="Q382" s="119"/>
      <c r="R382" s="119"/>
      <c r="S382" s="285">
        <v>6.31</v>
      </c>
      <c r="T382" s="38">
        <f>ROUND((L382*I377+1.3*L382*K377+S382*H377),4)</f>
        <v>20118.880499999999</v>
      </c>
      <c r="U382" s="38">
        <f>ROUND((M382*0.9*I377+1.3*M382*0.9*K377+S382*H377),4)</f>
        <v>22046.047399999999</v>
      </c>
      <c r="V382" s="38">
        <f>ROUND((M382*I377+1.3*M382*K377+S382*H377),4)</f>
        <v>24453.541499999999</v>
      </c>
      <c r="W382" s="38">
        <f>ROUND((L382*J377+1.3*L382*N377+S382*G377),4)</f>
        <v>128.85</v>
      </c>
      <c r="X382" s="38">
        <f>ROUND((M382*0.9*J377+1.3*M382*0.9*N377+S382*G377),4)</f>
        <v>137.733</v>
      </c>
      <c r="Y382" s="38">
        <f>ROUND((M382*J377+1.3*M382*N377+S382*G377),4)</f>
        <v>148.83000000000001</v>
      </c>
      <c r="Z382" s="276">
        <f>ROUND((P377*T382*F377*O377/1000000),4)</f>
        <v>3.6214</v>
      </c>
      <c r="AA382" s="276">
        <f>ROUND((Q377*U382*F377*O377/1000000),4)</f>
        <v>1.9841</v>
      </c>
      <c r="AB382" s="276">
        <f>ROUND((R377*V382*F377*O377/1000000),4)</f>
        <v>2.2008000000000001</v>
      </c>
      <c r="AC382" s="277" t="s">
        <v>157</v>
      </c>
      <c r="AD382" s="278" t="s">
        <v>153</v>
      </c>
      <c r="AE382" s="40">
        <f>ROUND((((X382*E377)/1800)),4)</f>
        <v>7.6499999999999999E-2</v>
      </c>
      <c r="AF382" s="40">
        <f>ROUND(((Z382+AA382+AB382)),4)</f>
        <v>7.8063000000000002</v>
      </c>
      <c r="AG382" s="254"/>
      <c r="AH382" s="254"/>
    </row>
    <row r="383" spans="1:34" s="61" customFormat="1" ht="15" customHeight="1" x14ac:dyDescent="0.25">
      <c r="A383" s="260"/>
      <c r="B383" s="287" t="s">
        <v>578</v>
      </c>
      <c r="C383" s="38">
        <v>3</v>
      </c>
      <c r="D383" s="38" t="s">
        <v>579</v>
      </c>
      <c r="E383" s="38">
        <v>1</v>
      </c>
      <c r="F383" s="38">
        <v>12</v>
      </c>
      <c r="G383" s="38">
        <v>6</v>
      </c>
      <c r="H383" s="38">
        <v>60</v>
      </c>
      <c r="I383" s="38">
        <f>(8-1-0.75*2)*60*F383-K383-8*0.12*60</f>
        <v>1328.4</v>
      </c>
      <c r="J383" s="38">
        <v>14</v>
      </c>
      <c r="K383" s="38">
        <f>(8-1-0.75*2)*0.65*60*F383</f>
        <v>2574</v>
      </c>
      <c r="L383" s="38">
        <v>1.49</v>
      </c>
      <c r="M383" s="38">
        <v>1.49</v>
      </c>
      <c r="N383" s="38">
        <v>10</v>
      </c>
      <c r="O383" s="38">
        <f>E383/F383</f>
        <v>8.3333333333333329E-2</v>
      </c>
      <c r="P383" s="38">
        <v>180</v>
      </c>
      <c r="Q383" s="38">
        <v>90</v>
      </c>
      <c r="R383" s="275">
        <v>90</v>
      </c>
      <c r="S383" s="275">
        <v>0.28999999999999998</v>
      </c>
      <c r="T383" s="38">
        <f>ROUND((L383*I383+1.3*L383*K383+S383*H383),4)</f>
        <v>6982.5540000000001</v>
      </c>
      <c r="U383" s="38">
        <f>ROUND((M383*I383+1.3*M383*K383+S383*H383),4)</f>
        <v>6982.5540000000001</v>
      </c>
      <c r="V383" s="38">
        <f>ROUND((M383*I383+1.3*M383*K383+S383*H383),4)</f>
        <v>6982.5540000000001</v>
      </c>
      <c r="W383" s="38">
        <f>ROUND((L383*J383+1.3*L383*N383+S383*G383),4)</f>
        <v>41.97</v>
      </c>
      <c r="X383" s="38">
        <f>ROUND((M383*J383+1.3*M383*N383+S383*G383),4)</f>
        <v>41.97</v>
      </c>
      <c r="Y383" s="38">
        <f>ROUND((M383*J383+1.3*M383*N383+S383*G383),4)</f>
        <v>41.97</v>
      </c>
      <c r="Z383" s="276">
        <f>ROUND((P383*T383*F383*O383/1000000),4)</f>
        <v>1.2568999999999999</v>
      </c>
      <c r="AA383" s="276">
        <f>ROUND((Q383*U383*F383*O383/1000000),4)</f>
        <v>0.62839999999999996</v>
      </c>
      <c r="AB383" s="276">
        <f>ROUND((R383*V383*F383*O383/1000000),4)</f>
        <v>0.62839999999999996</v>
      </c>
      <c r="AC383" s="277" t="s">
        <v>165</v>
      </c>
      <c r="AD383" s="278" t="s">
        <v>144</v>
      </c>
      <c r="AE383" s="40">
        <f>ROUND((((X383*E383)/1800)*0.8),4)</f>
        <v>1.8700000000000001E-2</v>
      </c>
      <c r="AF383" s="40">
        <f>ROUND(((Z383+AA383+AB383)*0.8),4)</f>
        <v>2.0110000000000001</v>
      </c>
      <c r="AG383" s="254"/>
      <c r="AH383" s="254"/>
    </row>
    <row r="384" spans="1:34" s="61" customFormat="1" ht="15" customHeight="1" x14ac:dyDescent="0.25">
      <c r="A384" s="260"/>
      <c r="B384" s="1634" t="s">
        <v>580</v>
      </c>
      <c r="C384" s="39"/>
      <c r="D384" s="39"/>
      <c r="E384" s="39"/>
      <c r="F384" s="39"/>
      <c r="G384" s="39"/>
      <c r="H384" s="39"/>
      <c r="I384" s="39"/>
      <c r="J384" s="39"/>
      <c r="K384" s="39"/>
      <c r="L384" s="119"/>
      <c r="M384" s="119"/>
      <c r="N384" s="39"/>
      <c r="O384" s="39"/>
      <c r="P384" s="39"/>
      <c r="Q384" s="39"/>
      <c r="R384" s="39"/>
      <c r="S384" s="281"/>
      <c r="T384" s="39"/>
      <c r="U384" s="39"/>
      <c r="V384" s="39"/>
      <c r="W384" s="39"/>
      <c r="X384" s="39"/>
      <c r="Y384" s="39"/>
      <c r="Z384" s="39"/>
      <c r="AA384" s="39"/>
      <c r="AB384" s="39"/>
      <c r="AC384" s="277" t="s">
        <v>166</v>
      </c>
      <c r="AD384" s="278" t="s">
        <v>167</v>
      </c>
      <c r="AE384" s="40">
        <f>ROUND((((X383*E383)/1800)*0.13),4)</f>
        <v>3.0000000000000001E-3</v>
      </c>
      <c r="AF384" s="40">
        <f>ROUND(((Z383+AA383+AB383)*0.13),4)</f>
        <v>0.32679999999999998</v>
      </c>
      <c r="AG384" s="254"/>
      <c r="AH384" s="254"/>
    </row>
    <row r="385" spans="1:35" s="61" customFormat="1" ht="15" customHeight="1" x14ac:dyDescent="0.25">
      <c r="A385" s="260"/>
      <c r="B385" s="1634"/>
      <c r="C385" s="283"/>
      <c r="D385" s="283"/>
      <c r="E385" s="39"/>
      <c r="F385" s="39"/>
      <c r="G385" s="39"/>
      <c r="H385" s="39"/>
      <c r="I385" s="39"/>
      <c r="J385" s="39"/>
      <c r="K385" s="39"/>
      <c r="L385" s="40">
        <v>0.12</v>
      </c>
      <c r="M385" s="40">
        <v>0.15</v>
      </c>
      <c r="N385" s="39"/>
      <c r="O385" s="39"/>
      <c r="P385" s="39"/>
      <c r="Q385" s="39"/>
      <c r="R385" s="39"/>
      <c r="S385" s="284">
        <v>5.8000000000000003E-2</v>
      </c>
      <c r="T385" s="38">
        <f>ROUND((L385*I383+1.3*L385*K383+S385*H383),4)</f>
        <v>564.43200000000002</v>
      </c>
      <c r="U385" s="38">
        <f>ROUND((M385*0.9*I383+1.3*M385*0.9*K383+S385*H383),4)</f>
        <v>634.55100000000004</v>
      </c>
      <c r="V385" s="38">
        <f>ROUND((M385*I383+1.3*M385*K383+S385*H383),4)</f>
        <v>704.67</v>
      </c>
      <c r="W385" s="38">
        <f>ROUND((L385*J383+1.3*L385*N383+S385*G383),4)</f>
        <v>3.5880000000000001</v>
      </c>
      <c r="X385" s="38">
        <f>ROUND((M385*0.9*J383+1.3*M385*0.9*N383+S385*G383),4)</f>
        <v>3.9929999999999999</v>
      </c>
      <c r="Y385" s="38">
        <f>ROUND((M385*J383+1.3*M385*N383+S385*G383),4)</f>
        <v>4.3979999999999997</v>
      </c>
      <c r="Z385" s="276">
        <f>ROUND((P383*T385*F383*O383/1000000),4)</f>
        <v>0.1016</v>
      </c>
      <c r="AA385" s="276">
        <f>ROUND((Q383*U385*F383*O383/1000000),4)</f>
        <v>5.7099999999999998E-2</v>
      </c>
      <c r="AB385" s="276">
        <f>ROUND((R383*V385*F383*O383/1000000),4)</f>
        <v>6.3399999999999998E-2</v>
      </c>
      <c r="AC385" s="277" t="s">
        <v>547</v>
      </c>
      <c r="AD385" s="278" t="s">
        <v>169</v>
      </c>
      <c r="AE385" s="40">
        <f>ROUND((((X385*E383)/1800)),4)</f>
        <v>2.2000000000000001E-3</v>
      </c>
      <c r="AF385" s="40">
        <f>ROUND(((Z385+AA385+AB385)),5)</f>
        <v>0.22209999999999999</v>
      </c>
      <c r="AG385" s="254"/>
      <c r="AH385" s="254"/>
    </row>
    <row r="386" spans="1:35" s="61" customFormat="1" ht="15" customHeight="1" x14ac:dyDescent="0.25">
      <c r="A386" s="260"/>
      <c r="B386" s="288"/>
      <c r="C386" s="39"/>
      <c r="D386" s="39"/>
      <c r="E386" s="39"/>
      <c r="F386" s="39"/>
      <c r="G386" s="39"/>
      <c r="H386" s="39"/>
      <c r="I386" s="39"/>
      <c r="J386" s="39"/>
      <c r="K386" s="39"/>
      <c r="L386" s="40">
        <v>0.26</v>
      </c>
      <c r="M386" s="40">
        <v>0.31</v>
      </c>
      <c r="N386" s="39"/>
      <c r="O386" s="39"/>
      <c r="P386" s="39"/>
      <c r="Q386" s="39"/>
      <c r="R386" s="39"/>
      <c r="S386" s="285">
        <v>0.18</v>
      </c>
      <c r="T386" s="38">
        <f>ROUND((L386*I383+1.3*L386*K383+S386*H383),4)</f>
        <v>1226.1959999999999</v>
      </c>
      <c r="U386" s="38">
        <f>ROUND((M386*0.9*I383+1.3*M386*0.9*K383+S386*H383),4)</f>
        <v>1315.0134</v>
      </c>
      <c r="V386" s="38">
        <f>ROUND((M386*I383+1.3*M386*K383+S386*H383),4)</f>
        <v>1459.9259999999999</v>
      </c>
      <c r="W386" s="38">
        <f>ROUND((L386*J383+1.3*L386*N383+S386*G383),4)</f>
        <v>8.1</v>
      </c>
      <c r="X386" s="38">
        <f>ROUND((M386*0.9*J383+1.3*M386*0.9*N383+S386*G383),4)</f>
        <v>8.6129999999999995</v>
      </c>
      <c r="Y386" s="38">
        <f>ROUND((M386*J383+1.3*N383+S386*G383),4)</f>
        <v>18.420000000000002</v>
      </c>
      <c r="Z386" s="276">
        <f>ROUND((P383*T386*F383*O383/1000000),4)</f>
        <v>0.22070000000000001</v>
      </c>
      <c r="AA386" s="276">
        <f>ROUND((Q383*U386*F383*O383/1000000),4)</f>
        <v>0.11840000000000001</v>
      </c>
      <c r="AB386" s="276">
        <f>ROUND((R383*V386*F383*O383/1000000),4)</f>
        <v>0.13139999999999999</v>
      </c>
      <c r="AC386" s="277" t="s">
        <v>548</v>
      </c>
      <c r="AD386" s="278" t="s">
        <v>549</v>
      </c>
      <c r="AE386" s="40">
        <f>ROUND((((X386*E383)/1800)),4)</f>
        <v>4.7999999999999996E-3</v>
      </c>
      <c r="AF386" s="40">
        <f>ROUND(((Z386+AA386+AB386)),4)</f>
        <v>0.47049999999999997</v>
      </c>
      <c r="AG386" s="254"/>
      <c r="AH386" s="254"/>
    </row>
    <row r="387" spans="1:35" s="61" customFormat="1" ht="15" customHeight="1" x14ac:dyDescent="0.25">
      <c r="A387" s="260"/>
      <c r="B387" s="280"/>
      <c r="C387" s="39"/>
      <c r="D387" s="39"/>
      <c r="E387" s="39"/>
      <c r="F387" s="39"/>
      <c r="G387" s="39"/>
      <c r="H387" s="39"/>
      <c r="I387" s="39"/>
      <c r="J387" s="39"/>
      <c r="K387" s="39"/>
      <c r="L387" s="40">
        <v>0.17</v>
      </c>
      <c r="M387" s="40">
        <v>0.25</v>
      </c>
      <c r="N387" s="39"/>
      <c r="O387" s="39"/>
      <c r="P387" s="39"/>
      <c r="Q387" s="39"/>
      <c r="R387" s="39"/>
      <c r="S387" s="285">
        <v>0.04</v>
      </c>
      <c r="T387" s="38">
        <f>ROUND((L387*I383+1.3*L387*K383+S387*H383),4)</f>
        <v>797.08199999999999</v>
      </c>
      <c r="U387" s="38">
        <f>ROUND((M387*0.9*I383+1.3*M387*0.9*K383+S387*H383),4)</f>
        <v>1054.1849999999999</v>
      </c>
      <c r="V387" s="38">
        <f>ROUND((M387*I383+1.3*M387*K383+S387*H383),4)</f>
        <v>1171.05</v>
      </c>
      <c r="W387" s="38">
        <f>ROUND((L387*J383+1.3*L387*N383+S387*G383),4)</f>
        <v>4.83</v>
      </c>
      <c r="X387" s="38">
        <f>ROUND((M387*0.9*J383+1.3*M387*0.9*N383+S387*G383),4)</f>
        <v>6.3150000000000004</v>
      </c>
      <c r="Y387" s="38">
        <f>ROUND((M387*J383+1.3*M387*N383+S387*G383),4)</f>
        <v>6.99</v>
      </c>
      <c r="Z387" s="276">
        <f>ROUND((P383*T387*F383*O383/1000000),4)</f>
        <v>0.14349999999999999</v>
      </c>
      <c r="AA387" s="276">
        <f>ROUND((Q383*U387*F383*O383/1000000),4)</f>
        <v>9.4899999999999998E-2</v>
      </c>
      <c r="AB387" s="276">
        <f>ROUND((R383*V387*F383*O383/1000000),4)</f>
        <v>0.10539999999999999</v>
      </c>
      <c r="AC387" s="277" t="s">
        <v>172</v>
      </c>
      <c r="AD387" s="278" t="s">
        <v>173</v>
      </c>
      <c r="AE387" s="40">
        <f>ROUND((((X387*E383)/1800)),4)</f>
        <v>3.5000000000000001E-3</v>
      </c>
      <c r="AF387" s="40">
        <f>ROUND(((Z387+AA387+AB387)),4)</f>
        <v>0.34379999999999999</v>
      </c>
      <c r="AG387" s="254"/>
      <c r="AH387" s="254"/>
    </row>
    <row r="388" spans="1:35" s="61" customFormat="1" ht="15" customHeight="1" x14ac:dyDescent="0.25">
      <c r="A388" s="295"/>
      <c r="B388" s="286"/>
      <c r="C388" s="119"/>
      <c r="D388" s="119"/>
      <c r="E388" s="119"/>
      <c r="F388" s="119"/>
      <c r="G388" s="119"/>
      <c r="H388" s="119"/>
      <c r="I388" s="119"/>
      <c r="J388" s="119"/>
      <c r="K388" s="119"/>
      <c r="L388" s="40">
        <v>0.77</v>
      </c>
      <c r="M388" s="40">
        <v>0.94</v>
      </c>
      <c r="N388" s="119"/>
      <c r="O388" s="119"/>
      <c r="P388" s="119"/>
      <c r="Q388" s="119"/>
      <c r="R388" s="119"/>
      <c r="S388" s="285">
        <v>1.44</v>
      </c>
      <c r="T388" s="38">
        <f>ROUND((L388*I383+1.3*L388*K383+S388*H383),4)</f>
        <v>3685.8420000000001</v>
      </c>
      <c r="U388" s="38">
        <f>ROUND((M388*0.9*I383+1.3*M388*0.9*K383+S388*H383),4)</f>
        <v>4041.1116000000002</v>
      </c>
      <c r="V388" s="38">
        <f>ROUND((M388*I383+1.3*M388*K383+S388*H383),4)</f>
        <v>4480.5240000000003</v>
      </c>
      <c r="W388" s="38">
        <f>ROUND((L388*J383+1.3*L388*N383+S388*G383),4)</f>
        <v>29.43</v>
      </c>
      <c r="X388" s="38">
        <f>ROUND((M388*0.9*J383+1.3*M388*0.9*N383+S388*G383),4)</f>
        <v>31.481999999999999</v>
      </c>
      <c r="Y388" s="38">
        <f>ROUND((M388*J383+1.3*M388*N383+S388*G383),4)</f>
        <v>34.020000000000003</v>
      </c>
      <c r="Z388" s="276">
        <f>ROUND((P383*T388*F383*O383/1000000),4)</f>
        <v>0.66349999999999998</v>
      </c>
      <c r="AA388" s="276">
        <f>ROUND((Q383*U388*F383*O383/1000000),4)</f>
        <v>0.36370000000000002</v>
      </c>
      <c r="AB388" s="276">
        <f>ROUND((R383*V388*F383*O383/1000000),4)</f>
        <v>0.4032</v>
      </c>
      <c r="AC388" s="277" t="s">
        <v>157</v>
      </c>
      <c r="AD388" s="278" t="s">
        <v>153</v>
      </c>
      <c r="AE388" s="40">
        <f>ROUND((((X388*E383)/1800)),4)</f>
        <v>1.7500000000000002E-2</v>
      </c>
      <c r="AF388" s="40">
        <f>ROUND(((Z388+AA388+AB388)),4)</f>
        <v>1.4303999999999999</v>
      </c>
      <c r="AG388" s="254"/>
      <c r="AH388" s="254"/>
    </row>
    <row r="389" spans="1:35" s="61" customFormat="1" ht="15" customHeight="1" x14ac:dyDescent="0.25">
      <c r="A389" s="1676" t="s">
        <v>610</v>
      </c>
      <c r="B389" s="1677"/>
      <c r="C389" s="1677"/>
      <c r="D389" s="1677"/>
      <c r="E389" s="1677"/>
      <c r="F389" s="1677"/>
      <c r="G389" s="1677"/>
      <c r="H389" s="1677"/>
      <c r="I389" s="1677"/>
      <c r="J389" s="1677"/>
      <c r="K389" s="1677"/>
      <c r="L389" s="1677"/>
      <c r="M389" s="1677"/>
      <c r="N389" s="1677"/>
      <c r="O389" s="1677"/>
      <c r="P389" s="1677"/>
      <c r="Q389" s="1677"/>
      <c r="R389" s="1677"/>
      <c r="S389" s="1678"/>
      <c r="T389" s="36">
        <f>ROUND((L389*I389+1.3*L389*K389+S389*H389),4)</f>
        <v>0</v>
      </c>
      <c r="U389" s="36">
        <f>ROUND((M389*I389+1.3*M389*K389+S389*H389),4)</f>
        <v>0</v>
      </c>
      <c r="V389" s="36">
        <f>ROUND((M389*I389+1.3*M389*K389+S389*H389),4)</f>
        <v>0</v>
      </c>
      <c r="W389" s="36">
        <f>ROUND((L389*J389+1.3*L389*N389+S389*G389),4)</f>
        <v>0</v>
      </c>
      <c r="X389" s="36">
        <f>ROUND((M389*J389+1.3*M389*N389+S389*G389),4)</f>
        <v>0</v>
      </c>
      <c r="Y389" s="36">
        <f>ROUND((M389*J389+1.3*M389*N389+S389*G389),4)</f>
        <v>0</v>
      </c>
      <c r="Z389" s="291">
        <f>ROUND((P389*T389*F389*O389/1000000),4)</f>
        <v>0</v>
      </c>
      <c r="AA389" s="291">
        <f>ROUND((Q389*U389*F389*O389/1000000),4)</f>
        <v>0</v>
      </c>
      <c r="AB389" s="291">
        <f>ROUND((R389*V389*F389*O389/1000000),4)</f>
        <v>0</v>
      </c>
      <c r="AC389" s="292" t="s">
        <v>165</v>
      </c>
      <c r="AD389" s="293" t="s">
        <v>144</v>
      </c>
      <c r="AE389" s="294">
        <f>MAX(AE191,AE197,AE203,AE209,AE215,AE221,AE227,AE233,AE239,AE245,AE251,AE287,AE293,AE299,AE305,AE311,AE317,AE323,AE341,AE353,AE359,AE365,AE371,AE377,AE383,AE257,AE263,AE269,AE275,AE281,AE329,AE335,AE347)</f>
        <v>0.38169999999999998</v>
      </c>
      <c r="AF389" s="294">
        <f>AF191+AF197+AF203+AF209+AF215+AF221+AF227+AF233+AF239+AF245+AF251+AF287+AF293+AF299+AF305+AF311+AF317+AF323+AF341+AF353+AF359+AF365+AF371+AF377+AF383+AF257+AF263+AF269+AF275+AF281+AF329+AF335+AF347</f>
        <v>425.54880000000009</v>
      </c>
      <c r="AG389" s="254"/>
      <c r="AH389" s="254"/>
    </row>
    <row r="390" spans="1:35" s="61" customFormat="1" ht="15" customHeight="1" x14ac:dyDescent="0.25">
      <c r="A390" s="1676"/>
      <c r="B390" s="1679"/>
      <c r="C390" s="1679"/>
      <c r="D390" s="1679"/>
      <c r="E390" s="1679"/>
      <c r="F390" s="1679"/>
      <c r="G390" s="1679"/>
      <c r="H390" s="1679"/>
      <c r="I390" s="1679"/>
      <c r="J390" s="1679"/>
      <c r="K390" s="1679"/>
      <c r="L390" s="1679"/>
      <c r="M390" s="1679"/>
      <c r="N390" s="1679"/>
      <c r="O390" s="1679"/>
      <c r="P390" s="1679"/>
      <c r="Q390" s="1679"/>
      <c r="R390" s="1679"/>
      <c r="S390" s="1680"/>
      <c r="T390" s="37"/>
      <c r="U390" s="37"/>
      <c r="V390" s="37"/>
      <c r="W390" s="37"/>
      <c r="X390" s="37"/>
      <c r="Y390" s="37"/>
      <c r="Z390" s="37"/>
      <c r="AA390" s="37"/>
      <c r="AB390" s="37"/>
      <c r="AC390" s="292" t="s">
        <v>166</v>
      </c>
      <c r="AD390" s="293" t="s">
        <v>167</v>
      </c>
      <c r="AE390" s="294">
        <f t="shared" ref="AE390:AE394" si="2">MAX(AE192,AE198,AE204,AE210,AE216,AE222,AE228,AE234,AE240,AE246,AE252,AE288,AE294,AE300,AE306,AE312,AE318,AE324,AE342,AE354,AE360,AE366,AE372,AE378,AE384,AE258,AE264,AE270,AE276,AE282,AE330,AE336,AE348)</f>
        <v>6.2E-2</v>
      </c>
      <c r="AF390" s="294">
        <f t="shared" ref="AF390:AF394" si="3">AF192+AF198+AF204+AF210+AF216+AF222+AF228+AF234+AF240+AF246+AF252+AF288+AF294+AF300+AF306+AF312+AF318+AF324+AF342+AF354+AF360+AF366+AF372+AF378+AF384+AF258+AF264+AF270+AF276+AF282+AF330+AF336+AF348</f>
        <v>69.151600000000002</v>
      </c>
      <c r="AG390" s="254"/>
      <c r="AH390" s="254"/>
    </row>
    <row r="391" spans="1:35" s="61" customFormat="1" ht="15" customHeight="1" x14ac:dyDescent="0.25">
      <c r="A391" s="1676"/>
      <c r="B391" s="1679"/>
      <c r="C391" s="1679"/>
      <c r="D391" s="1679"/>
      <c r="E391" s="1679"/>
      <c r="F391" s="1679"/>
      <c r="G391" s="1679"/>
      <c r="H391" s="1679"/>
      <c r="I391" s="1679"/>
      <c r="J391" s="1679"/>
      <c r="K391" s="1679"/>
      <c r="L391" s="1679"/>
      <c r="M391" s="1679"/>
      <c r="N391" s="1679"/>
      <c r="O391" s="1679"/>
      <c r="P391" s="1679"/>
      <c r="Q391" s="1679"/>
      <c r="R391" s="1679"/>
      <c r="S391" s="1680"/>
      <c r="T391" s="36">
        <f>ROUND((L391*I389+1.3*L391*K389+S391*H389),4)</f>
        <v>0</v>
      </c>
      <c r="U391" s="36">
        <f>ROUND((M391*0.9*I389+1.3*M391*0.9*K389+S391*H389),4)</f>
        <v>0</v>
      </c>
      <c r="V391" s="36">
        <f>ROUND((M391*I389+1.3*M391*K389+S391*H389),4)</f>
        <v>0</v>
      </c>
      <c r="W391" s="36">
        <f>ROUND((L391*J389+1.3*L391*N389+S391*G389),4)</f>
        <v>0</v>
      </c>
      <c r="X391" s="36">
        <f>ROUND((M391*0.9*J389+1.3*M391*0.9*N389+S391*G389),4)</f>
        <v>0</v>
      </c>
      <c r="Y391" s="36">
        <f>ROUND((M391*J389+1.3*M391*N389+S391*G389),4)</f>
        <v>0</v>
      </c>
      <c r="Z391" s="291">
        <f>ROUND((P389*T391*F389*O389/1000000),4)</f>
        <v>0</v>
      </c>
      <c r="AA391" s="291">
        <f>ROUND((Q389*U391*F389*O389/1000000),4)</f>
        <v>0</v>
      </c>
      <c r="AB391" s="291">
        <f>ROUND((R389*V391*F389*O389/1000000),4)</f>
        <v>0</v>
      </c>
      <c r="AC391" s="292" t="s">
        <v>547</v>
      </c>
      <c r="AD391" s="293" t="s">
        <v>169</v>
      </c>
      <c r="AE391" s="294">
        <f>MAX(AE193,AE199,AE205,AE211,AE217,AE223,AE229,AE235,AE241,AE247,AE253,AE289,AE295,AE301,AE307,AE313,AE319,AE325,AE343,AE355,AE361,AE367,AE373,AE379,AE385,AE259,AE265,AE271,AE277,AE283,AE331,AE337,AE349)</f>
        <v>4.36E-2</v>
      </c>
      <c r="AF391" s="294">
        <f t="shared" si="3"/>
        <v>51.490499999999983</v>
      </c>
      <c r="AG391" s="254"/>
      <c r="AH391" s="254"/>
    </row>
    <row r="392" spans="1:35" s="61" customFormat="1" ht="15" customHeight="1" x14ac:dyDescent="0.25">
      <c r="A392" s="1676"/>
      <c r="B392" s="1679"/>
      <c r="C392" s="1679"/>
      <c r="D392" s="1679"/>
      <c r="E392" s="1679"/>
      <c r="F392" s="1679"/>
      <c r="G392" s="1679"/>
      <c r="H392" s="1679"/>
      <c r="I392" s="1679"/>
      <c r="J392" s="1679"/>
      <c r="K392" s="1679"/>
      <c r="L392" s="1679"/>
      <c r="M392" s="1679"/>
      <c r="N392" s="1679"/>
      <c r="O392" s="1679"/>
      <c r="P392" s="1679"/>
      <c r="Q392" s="1679"/>
      <c r="R392" s="1679"/>
      <c r="S392" s="1680"/>
      <c r="T392" s="36">
        <f>ROUND((L392*I389+1.3*L392*K389+S392*H389),4)</f>
        <v>0</v>
      </c>
      <c r="U392" s="36">
        <f>ROUND((M392*0.9*I389+1.3*M392*0.9*K389+S392*H389),4)</f>
        <v>0</v>
      </c>
      <c r="V392" s="36">
        <f>ROUND((M392*I389+1.3*M392*K389+S392*H389),4)</f>
        <v>0</v>
      </c>
      <c r="W392" s="36">
        <f>ROUND((L392*J389+1.3*L392*N389+S392*G389),4)</f>
        <v>0</v>
      </c>
      <c r="X392" s="36">
        <f>ROUND((M392*0.9*J389+1.3*M392*0.9*N389+S392*G389),4)</f>
        <v>0</v>
      </c>
      <c r="Y392" s="36">
        <f>ROUND((M392*J389+1.3*N389+S392*G389),4)</f>
        <v>0</v>
      </c>
      <c r="Z392" s="291">
        <f>ROUND((P389*T392*F389*O389/1000000),4)</f>
        <v>0</v>
      </c>
      <c r="AA392" s="291">
        <f>ROUND((Q389*U392*F389*O389/1000000),4)</f>
        <v>0</v>
      </c>
      <c r="AB392" s="291">
        <f>ROUND((R389*V392*F389*O389/1000000),4)</f>
        <v>0</v>
      </c>
      <c r="AC392" s="292" t="s">
        <v>548</v>
      </c>
      <c r="AD392" s="293" t="s">
        <v>549</v>
      </c>
      <c r="AE392" s="294">
        <f t="shared" si="2"/>
        <v>9.9500000000000005E-2</v>
      </c>
      <c r="AF392" s="294">
        <f t="shared" si="3"/>
        <v>100.69880000000005</v>
      </c>
      <c r="AG392" s="254"/>
      <c r="AH392" s="254"/>
    </row>
    <row r="393" spans="1:35" s="61" customFormat="1" ht="15" customHeight="1" x14ac:dyDescent="0.25">
      <c r="A393" s="1676"/>
      <c r="B393" s="1679"/>
      <c r="C393" s="1679"/>
      <c r="D393" s="1679"/>
      <c r="E393" s="1679"/>
      <c r="F393" s="1679"/>
      <c r="G393" s="1679"/>
      <c r="H393" s="1679"/>
      <c r="I393" s="1679"/>
      <c r="J393" s="1679"/>
      <c r="K393" s="1679"/>
      <c r="L393" s="1679"/>
      <c r="M393" s="1679"/>
      <c r="N393" s="1679"/>
      <c r="O393" s="1679"/>
      <c r="P393" s="1679"/>
      <c r="Q393" s="1679"/>
      <c r="R393" s="1679"/>
      <c r="S393" s="1680"/>
      <c r="T393" s="36">
        <f>ROUND((L393*I389+1.3*L393*K389+S393*H389),4)</f>
        <v>0</v>
      </c>
      <c r="U393" s="36">
        <f>ROUND((M393*0.9*I389+1.3*M393*0.9*K389+S393*H389),4)</f>
        <v>0</v>
      </c>
      <c r="V393" s="36">
        <f>ROUND((M393*I389+1.3*M393*K389+S393*H389),4)</f>
        <v>0</v>
      </c>
      <c r="W393" s="36">
        <f>ROUND((L393*J389+1.3*L393*N389+S393*G389),4)</f>
        <v>0</v>
      </c>
      <c r="X393" s="36">
        <f>ROUND((M393*0.9*J389+1.3*M393*0.9*N389+S393*G389),4)</f>
        <v>0</v>
      </c>
      <c r="Y393" s="36">
        <f>ROUND((M393*J389+1.3*M393*N389+S393*G389),4)</f>
        <v>0</v>
      </c>
      <c r="Z393" s="291">
        <f>ROUND((P389*T393*F389*O389/1000000),4)</f>
        <v>0</v>
      </c>
      <c r="AA393" s="291">
        <f>ROUND((Q389*U393*F389*O389/1000000),4)</f>
        <v>0</v>
      </c>
      <c r="AB393" s="291">
        <f>ROUND((R389*V393*F389*O389/1000000),4)</f>
        <v>0</v>
      </c>
      <c r="AC393" s="292" t="s">
        <v>172</v>
      </c>
      <c r="AD393" s="293" t="s">
        <v>173</v>
      </c>
      <c r="AE393" s="294">
        <f t="shared" si="2"/>
        <v>7.1499999999999994E-2</v>
      </c>
      <c r="AF393" s="294">
        <f t="shared" si="3"/>
        <v>71.821899999999985</v>
      </c>
      <c r="AG393" s="254"/>
      <c r="AH393" s="254"/>
    </row>
    <row r="394" spans="1:35" s="61" customFormat="1" ht="15" customHeight="1" x14ac:dyDescent="0.3">
      <c r="A394" s="1681"/>
      <c r="B394" s="1682"/>
      <c r="C394" s="1682"/>
      <c r="D394" s="1682"/>
      <c r="E394" s="1682"/>
      <c r="F394" s="1682"/>
      <c r="G394" s="1682"/>
      <c r="H394" s="1682"/>
      <c r="I394" s="1682"/>
      <c r="J394" s="1682"/>
      <c r="K394" s="1682"/>
      <c r="L394" s="1682"/>
      <c r="M394" s="1682"/>
      <c r="N394" s="1682"/>
      <c r="O394" s="1682"/>
      <c r="P394" s="1682"/>
      <c r="Q394" s="1682"/>
      <c r="R394" s="1682"/>
      <c r="S394" s="1683"/>
      <c r="T394" s="36">
        <f>ROUND((L394*I389+1.3*L394*K389+S394*H389),4)</f>
        <v>0</v>
      </c>
      <c r="U394" s="36">
        <f>ROUND((M394*0.9*I389+1.3*M394*0.9*K389+S394*H389),4)</f>
        <v>0</v>
      </c>
      <c r="V394" s="36">
        <f>ROUND((M394*I389+1.3*M394*K389+S394*H389),4)</f>
        <v>0</v>
      </c>
      <c r="W394" s="36">
        <f>ROUND((L394*J389+1.3*L394*N389+S394*G389),4)</f>
        <v>0</v>
      </c>
      <c r="X394" s="36">
        <f>ROUND((M394*0.9*J389+1.3*M394*0.9*N389+S394*G389),4)</f>
        <v>0</v>
      </c>
      <c r="Y394" s="36">
        <f>ROUND((M394*J389+1.3*M394*N389+S394*G389),4)</f>
        <v>0</v>
      </c>
      <c r="Z394" s="291">
        <f>ROUND((P389*T394*F389*O389/1000000),4)</f>
        <v>0</v>
      </c>
      <c r="AA394" s="291">
        <f>ROUND((Q389*U394*F389*O389/1000000),4)</f>
        <v>0</v>
      </c>
      <c r="AB394" s="291">
        <f>ROUND((R389*V394*F389*O389/1000000),4)</f>
        <v>0</v>
      </c>
      <c r="AC394" s="292" t="s">
        <v>157</v>
      </c>
      <c r="AD394" s="293" t="s">
        <v>153</v>
      </c>
      <c r="AE394" s="294">
        <f t="shared" si="2"/>
        <v>0.36120000000000002</v>
      </c>
      <c r="AF394" s="294">
        <f t="shared" si="3"/>
        <v>301.73439999999994</v>
      </c>
      <c r="AG394" s="565">
        <f>SUM(AE389:AE394)</f>
        <v>1.0195000000000001</v>
      </c>
      <c r="AH394" s="173">
        <f>SUM(AF389:AF394)</f>
        <v>1020.446</v>
      </c>
      <c r="AI394" s="577">
        <v>2027</v>
      </c>
    </row>
    <row r="395" spans="1:35" s="61" customFormat="1" ht="15" customHeight="1" x14ac:dyDescent="0.25">
      <c r="A395" s="1673" t="s">
        <v>60</v>
      </c>
      <c r="B395" s="1674"/>
      <c r="C395" s="1674"/>
      <c r="D395" s="1674"/>
      <c r="E395" s="1674"/>
      <c r="F395" s="1674"/>
      <c r="G395" s="1674"/>
      <c r="H395" s="1674"/>
      <c r="I395" s="1674"/>
      <c r="J395" s="1674"/>
      <c r="K395" s="1674"/>
      <c r="L395" s="1674"/>
      <c r="M395" s="1674"/>
      <c r="N395" s="1674"/>
      <c r="O395" s="1674"/>
      <c r="P395" s="1674"/>
      <c r="Q395" s="1674"/>
      <c r="R395" s="1674"/>
      <c r="S395" s="1674"/>
      <c r="T395" s="1674"/>
      <c r="U395" s="1674"/>
      <c r="V395" s="1674"/>
      <c r="W395" s="1674"/>
      <c r="X395" s="1674"/>
      <c r="Y395" s="1674"/>
      <c r="Z395" s="1674"/>
      <c r="AA395" s="1674"/>
      <c r="AB395" s="1674"/>
      <c r="AC395" s="1674"/>
      <c r="AD395" s="1674"/>
      <c r="AE395" s="1674"/>
      <c r="AF395" s="1675"/>
      <c r="AG395" s="254"/>
      <c r="AH395" s="254"/>
    </row>
    <row r="396" spans="1:35" s="61" customFormat="1" ht="15" customHeight="1" x14ac:dyDescent="0.25">
      <c r="A396" s="38">
        <v>7122</v>
      </c>
      <c r="B396" s="274" t="s">
        <v>544</v>
      </c>
      <c r="C396" s="38">
        <v>4</v>
      </c>
      <c r="D396" s="38" t="s">
        <v>545</v>
      </c>
      <c r="E396" s="38">
        <v>1</v>
      </c>
      <c r="F396" s="38">
        <v>11</v>
      </c>
      <c r="G396" s="38">
        <v>6</v>
      </c>
      <c r="H396" s="38">
        <v>60</v>
      </c>
      <c r="I396" s="38">
        <f>(8-1-0.75*2)*60*F396-K396-8*0.12*60</f>
        <v>1212.9000000000001</v>
      </c>
      <c r="J396" s="38">
        <v>14</v>
      </c>
      <c r="K396" s="38">
        <f>(8-1-0.75*2)*0.65*60*F396</f>
        <v>2359.5</v>
      </c>
      <c r="L396" s="38">
        <v>2.4700000000000002</v>
      </c>
      <c r="M396" s="38">
        <v>2.4700000000000002</v>
      </c>
      <c r="N396" s="38">
        <v>10</v>
      </c>
      <c r="O396" s="38">
        <f>E396/F396</f>
        <v>9.0909090909090912E-2</v>
      </c>
      <c r="P396" s="38">
        <v>180</v>
      </c>
      <c r="Q396" s="38">
        <v>90</v>
      </c>
      <c r="R396" s="275">
        <v>90</v>
      </c>
      <c r="S396" s="38">
        <v>0.48</v>
      </c>
      <c r="T396" s="38">
        <f>ROUND((L396*I396+1.3*L396*K396+S396*H396),4)</f>
        <v>10601.0175</v>
      </c>
      <c r="U396" s="38">
        <f>ROUND((M396*I396+1.3*M396*K396+S396*H396),4)</f>
        <v>10601.0175</v>
      </c>
      <c r="V396" s="38">
        <f>ROUND((M396*I396+1.3*M396*K396+S396*H396),4)</f>
        <v>10601.0175</v>
      </c>
      <c r="W396" s="38">
        <f>ROUND((L396*J396+1.3*L396*N396+S396*G396),4)</f>
        <v>69.569999999999993</v>
      </c>
      <c r="X396" s="38">
        <f>ROUND((M396*J396+1.3*M396*N396+S396*G396),4)</f>
        <v>69.569999999999993</v>
      </c>
      <c r="Y396" s="38">
        <f>ROUND((M396*J396+1.3*M396*N396+S396*G396),4)</f>
        <v>69.569999999999993</v>
      </c>
      <c r="Z396" s="276">
        <f>ROUND((P396*T396*F396*O396/1000000),4)</f>
        <v>1.9081999999999999</v>
      </c>
      <c r="AA396" s="276">
        <f>ROUND((Q396*U396*F396*O396/1000000),4)</f>
        <v>0.95409999999999995</v>
      </c>
      <c r="AB396" s="276">
        <f>ROUND((R396*V396*F396*O396/1000000),4)</f>
        <v>0.95409999999999995</v>
      </c>
      <c r="AC396" s="277" t="s">
        <v>165</v>
      </c>
      <c r="AD396" s="278" t="s">
        <v>144</v>
      </c>
      <c r="AE396" s="40">
        <f>ROUND((((X396*E396)/1800)*0.8),4)</f>
        <v>3.09E-2</v>
      </c>
      <c r="AF396" s="40">
        <f>ROUND(((Z396+AA396+AB396)*0.8),4)</f>
        <v>3.0531000000000001</v>
      </c>
      <c r="AG396" s="254"/>
      <c r="AH396" s="254"/>
    </row>
    <row r="397" spans="1:35" s="61" customFormat="1" ht="15" customHeight="1" x14ac:dyDescent="0.25">
      <c r="A397" s="260"/>
      <c r="B397" s="1634" t="s">
        <v>546</v>
      </c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296"/>
      <c r="T397" s="39"/>
      <c r="U397" s="39"/>
      <c r="V397" s="39"/>
      <c r="W397" s="39"/>
      <c r="X397" s="39"/>
      <c r="Y397" s="39"/>
      <c r="Z397" s="39"/>
      <c r="AA397" s="39"/>
      <c r="AB397" s="39"/>
      <c r="AC397" s="277" t="s">
        <v>166</v>
      </c>
      <c r="AD397" s="278" t="s">
        <v>167</v>
      </c>
      <c r="AE397" s="40">
        <f>ROUND((((X396*E396)/1800)*0.13),4)</f>
        <v>5.0000000000000001E-3</v>
      </c>
      <c r="AF397" s="40">
        <f>ROUND(((Z396+AA396+AB396)*0.13),4)</f>
        <v>0.49609999999999999</v>
      </c>
      <c r="AG397" s="254"/>
      <c r="AH397" s="254"/>
    </row>
    <row r="398" spans="1:35" s="61" customFormat="1" ht="15" customHeight="1" x14ac:dyDescent="0.25">
      <c r="A398" s="260"/>
      <c r="B398" s="1634"/>
      <c r="C398" s="283"/>
      <c r="D398" s="283"/>
      <c r="E398" s="39"/>
      <c r="F398" s="39"/>
      <c r="G398" s="39"/>
      <c r="H398" s="39"/>
      <c r="I398" s="39"/>
      <c r="J398" s="39"/>
      <c r="K398" s="39"/>
      <c r="L398" s="39">
        <v>0.19</v>
      </c>
      <c r="M398" s="39">
        <v>0.23</v>
      </c>
      <c r="N398" s="39"/>
      <c r="O398" s="39"/>
      <c r="P398" s="39"/>
      <c r="Q398" s="39"/>
      <c r="R398" s="39"/>
      <c r="S398" s="42">
        <v>9.7000000000000003E-2</v>
      </c>
      <c r="T398" s="38">
        <f>ROUND((L398*I396+1.3*L398*K396+S398*H396),4)</f>
        <v>819.0675</v>
      </c>
      <c r="U398" s="38">
        <f>ROUND((M398*0.9*I396+1.3*M398*0.9*K396+S398*H396),4)</f>
        <v>891.83180000000004</v>
      </c>
      <c r="V398" s="38">
        <f>ROUND((M398*I396+1.3*M398*K396+S398*H396),4)</f>
        <v>990.27750000000003</v>
      </c>
      <c r="W398" s="38">
        <f>ROUND((L398*J396+1.3*L398*N396+S398*G396),4)</f>
        <v>5.7119999999999997</v>
      </c>
      <c r="X398" s="38">
        <f>ROUND((M398*0.9*J396+1.3*M398*0.9*N396+S398*G396),4)</f>
        <v>6.1710000000000003</v>
      </c>
      <c r="Y398" s="38">
        <f>ROUND((M398*J396+1.3*M398*N396+S398*G396),4)</f>
        <v>6.7919999999999998</v>
      </c>
      <c r="Z398" s="276">
        <f>ROUND((P396*T398*F396*O396/1000000),4)</f>
        <v>0.1474</v>
      </c>
      <c r="AA398" s="276">
        <f>ROUND((Q396*U398*F396*O396/1000000),4)</f>
        <v>8.0299999999999996E-2</v>
      </c>
      <c r="AB398" s="276">
        <f>ROUND((R396*V398*F396*O396/1000000),4)</f>
        <v>8.9099999999999999E-2</v>
      </c>
      <c r="AC398" s="277" t="s">
        <v>547</v>
      </c>
      <c r="AD398" s="278" t="s">
        <v>169</v>
      </c>
      <c r="AE398" s="40">
        <f>ROUND((((X398*E396)/1800)),4)</f>
        <v>3.3999999999999998E-3</v>
      </c>
      <c r="AF398" s="40">
        <f>ROUND(((Z398+AA398+AB398)),5)</f>
        <v>0.31680000000000003</v>
      </c>
      <c r="AG398" s="254"/>
      <c r="AH398" s="254"/>
    </row>
    <row r="399" spans="1:35" s="61" customFormat="1" ht="15" customHeight="1" x14ac:dyDescent="0.25">
      <c r="A399" s="260"/>
      <c r="B399" s="297"/>
      <c r="C399" s="39"/>
      <c r="D399" s="39"/>
      <c r="E399" s="39"/>
      <c r="F399" s="39"/>
      <c r="G399" s="39"/>
      <c r="H399" s="39"/>
      <c r="I399" s="39"/>
      <c r="J399" s="39"/>
      <c r="K399" s="39"/>
      <c r="L399" s="39">
        <v>0.43</v>
      </c>
      <c r="M399" s="39">
        <v>0.51</v>
      </c>
      <c r="N399" s="39"/>
      <c r="O399" s="39"/>
      <c r="P399" s="39"/>
      <c r="Q399" s="39"/>
      <c r="R399" s="39"/>
      <c r="S399" s="42">
        <v>0.3</v>
      </c>
      <c r="T399" s="38">
        <f>ROUND((L399*I396+1.3*L399*K396+S399*H396),4)</f>
        <v>1858.5074999999999</v>
      </c>
      <c r="U399" s="38">
        <f>ROUND((M399*0.9*I396+1.3*M399*0.9*K396+S399*H396),4)</f>
        <v>1982.6348</v>
      </c>
      <c r="V399" s="38">
        <f>ROUND((M399*I396+1.3*M399*K396+S399*H396),4)</f>
        <v>2200.9274999999998</v>
      </c>
      <c r="W399" s="38">
        <f>ROUND((L399*J396+1.3*L399*N396+S399*G396),4)</f>
        <v>13.41</v>
      </c>
      <c r="X399" s="38">
        <f>ROUND((M399*0.9*J396+1.3*M399*0.9*N396+S399*G396),4)</f>
        <v>14.193</v>
      </c>
      <c r="Y399" s="38">
        <f>ROUND((M399*J396+1.3*N396+S399*G396),4)</f>
        <v>21.94</v>
      </c>
      <c r="Z399" s="276">
        <f>ROUND((P396*T399*F396*O396/1000000),4)</f>
        <v>0.33450000000000002</v>
      </c>
      <c r="AA399" s="276">
        <f>ROUND((Q396*U399*F396*O396/1000000),4)</f>
        <v>0.1784</v>
      </c>
      <c r="AB399" s="276">
        <f>ROUND((R396*V399*F396*O396/1000000),4)</f>
        <v>0.1981</v>
      </c>
      <c r="AC399" s="277" t="s">
        <v>548</v>
      </c>
      <c r="AD399" s="278" t="s">
        <v>549</v>
      </c>
      <c r="AE399" s="40">
        <f>ROUND((((X399*E396)/1800)),4)</f>
        <v>7.9000000000000008E-3</v>
      </c>
      <c r="AF399" s="40">
        <f>ROUND(((Z399+AA399+AB399)),4)</f>
        <v>0.71099999999999997</v>
      </c>
      <c r="AG399" s="254"/>
      <c r="AH399" s="254"/>
    </row>
    <row r="400" spans="1:35" s="61" customFormat="1" ht="15" customHeight="1" x14ac:dyDescent="0.25">
      <c r="A400" s="260"/>
      <c r="B400" s="280"/>
      <c r="C400" s="39"/>
      <c r="D400" s="39"/>
      <c r="E400" s="39"/>
      <c r="F400" s="39"/>
      <c r="G400" s="39"/>
      <c r="H400" s="39"/>
      <c r="I400" s="39"/>
      <c r="J400" s="39"/>
      <c r="K400" s="39"/>
      <c r="L400" s="39">
        <v>0.27</v>
      </c>
      <c r="M400" s="39">
        <v>0.41</v>
      </c>
      <c r="N400" s="39"/>
      <c r="O400" s="39"/>
      <c r="P400" s="39"/>
      <c r="Q400" s="39"/>
      <c r="R400" s="39"/>
      <c r="S400" s="42">
        <v>0.06</v>
      </c>
      <c r="T400" s="38">
        <f>ROUND((L400*I396+1.3*L400*K396+S400*H396),4)</f>
        <v>1159.2674999999999</v>
      </c>
      <c r="U400" s="38">
        <f>ROUND((M400*0.9*I396+1.3*M400*0.9*K396+S400*H396),4)</f>
        <v>1583.0123000000001</v>
      </c>
      <c r="V400" s="38">
        <f>ROUND((M400*I396+1.3*M400*K396+S400*H396),4)</f>
        <v>1758.5025000000001</v>
      </c>
      <c r="W400" s="38">
        <f>ROUND((L400*J396+1.3*L400*N396+S400*G396),4)</f>
        <v>7.65</v>
      </c>
      <c r="X400" s="38">
        <f>ROUND((M400*0.9*J396+1.3*M400*0.9*N396+S400*G396),4)</f>
        <v>10.323</v>
      </c>
      <c r="Y400" s="38">
        <f>ROUND((M400*J396+1.3*M400*N396+S400*G396),4)</f>
        <v>11.43</v>
      </c>
      <c r="Z400" s="276">
        <f>ROUND((P396*T400*F396*O396/1000000),4)</f>
        <v>0.2087</v>
      </c>
      <c r="AA400" s="276">
        <f>ROUND((Q396*U400*F396*O396/1000000),4)</f>
        <v>0.14249999999999999</v>
      </c>
      <c r="AB400" s="276">
        <f>ROUND((R396*V400*F396*O396/1000000),4)</f>
        <v>0.1583</v>
      </c>
      <c r="AC400" s="277" t="s">
        <v>172</v>
      </c>
      <c r="AD400" s="278" t="s">
        <v>173</v>
      </c>
      <c r="AE400" s="40">
        <f>ROUND((((X400*E396)/1800)),4)</f>
        <v>5.7000000000000002E-3</v>
      </c>
      <c r="AF400" s="40">
        <f>ROUND(((Z400+AA400+AB400)),4)</f>
        <v>0.50949999999999995</v>
      </c>
      <c r="AG400" s="254"/>
      <c r="AH400" s="254"/>
    </row>
    <row r="401" spans="1:34" s="61" customFormat="1" ht="15" customHeight="1" x14ac:dyDescent="0.25">
      <c r="A401" s="260"/>
      <c r="B401" s="280"/>
      <c r="C401" s="119"/>
      <c r="D401" s="119"/>
      <c r="E401" s="119"/>
      <c r="F401" s="119"/>
      <c r="G401" s="119"/>
      <c r="H401" s="119"/>
      <c r="I401" s="119"/>
      <c r="J401" s="119"/>
      <c r="K401" s="119"/>
      <c r="L401" s="119">
        <v>1.29</v>
      </c>
      <c r="M401" s="119">
        <v>1.57</v>
      </c>
      <c r="N401" s="119"/>
      <c r="O401" s="119"/>
      <c r="P401" s="119"/>
      <c r="Q401" s="119"/>
      <c r="R401" s="119"/>
      <c r="S401" s="42">
        <v>2.4</v>
      </c>
      <c r="T401" s="42">
        <f>ROUND((L401*I396+1.3*L401*K396+S401*H396),4)</f>
        <v>5665.5225</v>
      </c>
      <c r="U401" s="42">
        <f>ROUND((M401*0.9*I396+1.3*M401*0.9*K396+S401*H396),4)</f>
        <v>6191.9933000000001</v>
      </c>
      <c r="V401" s="42">
        <f>ROUND((M401*I396+1.3*M401*K396+S401*H396),4)</f>
        <v>6863.9925000000003</v>
      </c>
      <c r="W401" s="42">
        <f>ROUND((L401*J396+1.3*L401*N396+S401*G396),4)</f>
        <v>49.23</v>
      </c>
      <c r="X401" s="42">
        <f>ROUND((M401*0.9*J396+1.3*M401*0.9*N396+S401*G396),4)</f>
        <v>52.551000000000002</v>
      </c>
      <c r="Y401" s="42">
        <f>ROUND((M401*J396+1.3*M401*N396+S401*G396),4)</f>
        <v>56.79</v>
      </c>
      <c r="Z401" s="298">
        <f>ROUND((P396*T401*F396*O396/1000000),4)</f>
        <v>1.0198</v>
      </c>
      <c r="AA401" s="298">
        <f>ROUND((Q396*U401*F396*O396/1000000),4)</f>
        <v>0.55730000000000002</v>
      </c>
      <c r="AB401" s="298">
        <f>ROUND((R396*V401*F396*O396/1000000),4)</f>
        <v>0.61780000000000002</v>
      </c>
      <c r="AC401" s="277" t="s">
        <v>157</v>
      </c>
      <c r="AD401" s="278" t="s">
        <v>153</v>
      </c>
      <c r="AE401" s="40">
        <f>ROUND((((X401*E396)/1800)),4)</f>
        <v>2.92E-2</v>
      </c>
      <c r="AF401" s="40">
        <f>ROUND(((Z401+AA401+AB401)),4)</f>
        <v>2.1949000000000001</v>
      </c>
      <c r="AG401" s="254"/>
      <c r="AH401" s="254"/>
    </row>
    <row r="402" spans="1:34" s="61" customFormat="1" ht="15" customHeight="1" x14ac:dyDescent="0.25">
      <c r="A402" s="260"/>
      <c r="B402" s="274" t="s">
        <v>551</v>
      </c>
      <c r="C402" s="274">
        <v>5</v>
      </c>
      <c r="D402" s="38" t="s">
        <v>552</v>
      </c>
      <c r="E402" s="38">
        <v>2</v>
      </c>
      <c r="F402" s="38">
        <v>15</v>
      </c>
      <c r="G402" s="38">
        <v>6</v>
      </c>
      <c r="H402" s="38">
        <v>60</v>
      </c>
      <c r="I402" s="38">
        <f>(8-1-0.75*2)*60*F402-K402-8*0.12*60</f>
        <v>1674.9</v>
      </c>
      <c r="J402" s="38">
        <v>14</v>
      </c>
      <c r="K402" s="38">
        <f>(8-1-0.75*2)*0.65*60*F402</f>
        <v>3217.5</v>
      </c>
      <c r="L402" s="38">
        <v>4.01</v>
      </c>
      <c r="M402" s="38">
        <v>4.01</v>
      </c>
      <c r="N402" s="38">
        <v>10</v>
      </c>
      <c r="O402" s="38">
        <f>E402/F402</f>
        <v>0.13333333333333333</v>
      </c>
      <c r="P402" s="38">
        <v>180</v>
      </c>
      <c r="Q402" s="38">
        <v>90</v>
      </c>
      <c r="R402" s="275">
        <v>90</v>
      </c>
      <c r="S402" s="275">
        <v>0.78</v>
      </c>
      <c r="T402" s="38">
        <f>ROUND((L402*I402+1.3*L402*K402+S402*H402),4)</f>
        <v>23535.976500000001</v>
      </c>
      <c r="U402" s="38">
        <f>ROUND((M402*I402+1.3*M402*K402+S402*H402),4)</f>
        <v>23535.976500000001</v>
      </c>
      <c r="V402" s="38">
        <f>ROUND((M402*I402+1.3*M402*K402+S402*H402),4)</f>
        <v>23535.976500000001</v>
      </c>
      <c r="W402" s="38">
        <f>ROUND((L402*J402+1.3*L402*N402+S402*G402),4)</f>
        <v>112.95</v>
      </c>
      <c r="X402" s="38">
        <f>ROUND((M402*J402+1.3*M402*N402+S402*G402),4)</f>
        <v>112.95</v>
      </c>
      <c r="Y402" s="38">
        <f>ROUND((M402*J402+1.3*M402*N402+S402*G402),4)</f>
        <v>112.95</v>
      </c>
      <c r="Z402" s="276">
        <f>ROUND((P402*T402*F402*O402/1000000),4)</f>
        <v>8.4730000000000008</v>
      </c>
      <c r="AA402" s="276">
        <f>ROUND((Q402*U402*F402*O402/1000000),4)</f>
        <v>4.2365000000000004</v>
      </c>
      <c r="AB402" s="276">
        <f>ROUND((R402*V402*F402*O402/1000000),4)</f>
        <v>4.2365000000000004</v>
      </c>
      <c r="AC402" s="277" t="s">
        <v>165</v>
      </c>
      <c r="AD402" s="278" t="s">
        <v>144</v>
      </c>
      <c r="AE402" s="40">
        <f>ROUND((((X402*E402)/1800)*0.8),4)</f>
        <v>0.1004</v>
      </c>
      <c r="AF402" s="40">
        <f>ROUND(((Z402+AA402+AB402)*0.8),4)</f>
        <v>13.556800000000001</v>
      </c>
      <c r="AG402" s="288"/>
      <c r="AH402" s="254"/>
    </row>
    <row r="403" spans="1:34" s="61" customFormat="1" ht="15" customHeight="1" x14ac:dyDescent="0.25">
      <c r="A403" s="260"/>
      <c r="B403" s="279" t="s">
        <v>553</v>
      </c>
      <c r="C403" s="280"/>
      <c r="D403" s="39"/>
      <c r="E403" s="39"/>
      <c r="F403" s="39"/>
      <c r="G403" s="39"/>
      <c r="H403" s="39"/>
      <c r="I403" s="39"/>
      <c r="J403" s="39"/>
      <c r="K403" s="39"/>
      <c r="L403" s="119"/>
      <c r="M403" s="119"/>
      <c r="N403" s="39"/>
      <c r="O403" s="39"/>
      <c r="P403" s="39"/>
      <c r="Q403" s="39"/>
      <c r="R403" s="39"/>
      <c r="S403" s="281"/>
      <c r="T403" s="39"/>
      <c r="U403" s="39"/>
      <c r="V403" s="39"/>
      <c r="W403" s="39"/>
      <c r="X403" s="39"/>
      <c r="Y403" s="39"/>
      <c r="Z403" s="39"/>
      <c r="AA403" s="39"/>
      <c r="AB403" s="39"/>
      <c r="AC403" s="277" t="s">
        <v>166</v>
      </c>
      <c r="AD403" s="278" t="s">
        <v>167</v>
      </c>
      <c r="AE403" s="40">
        <f>ROUND((((X402*E402)/1800)*0.13),4)</f>
        <v>1.6299999999999999E-2</v>
      </c>
      <c r="AF403" s="40">
        <f>ROUND(((Z402+AA402+AB402)*0.13),4)</f>
        <v>2.2029999999999998</v>
      </c>
      <c r="AG403" s="288"/>
      <c r="AH403" s="254"/>
    </row>
    <row r="404" spans="1:34" s="61" customFormat="1" ht="15" customHeight="1" x14ac:dyDescent="0.25">
      <c r="A404" s="260"/>
      <c r="B404" s="280"/>
      <c r="C404" s="282"/>
      <c r="D404" s="283"/>
      <c r="E404" s="39"/>
      <c r="F404" s="39"/>
      <c r="G404" s="39"/>
      <c r="H404" s="39"/>
      <c r="I404" s="39"/>
      <c r="J404" s="39"/>
      <c r="K404" s="39"/>
      <c r="L404" s="40">
        <v>0.31</v>
      </c>
      <c r="M404" s="40">
        <v>0.38</v>
      </c>
      <c r="N404" s="39"/>
      <c r="O404" s="39"/>
      <c r="P404" s="39"/>
      <c r="Q404" s="39"/>
      <c r="R404" s="39"/>
      <c r="S404" s="284">
        <v>0.16</v>
      </c>
      <c r="T404" s="38">
        <f>ROUND((L404*I402+1.3*L404*K402+S404*H402),4)</f>
        <v>1825.4715000000001</v>
      </c>
      <c r="U404" s="38">
        <f>ROUND((M404*0.9*I402+1.3*M404*0.9*K402+S404*H402),4)</f>
        <v>2012.9163000000001</v>
      </c>
      <c r="V404" s="38">
        <f>ROUND((M404*I402+1.3*M404*K402+S404*H402),4)</f>
        <v>2235.5070000000001</v>
      </c>
      <c r="W404" s="38">
        <f>ROUND((L404*J402+1.3*L404*N402+S404*G402),4)</f>
        <v>9.33</v>
      </c>
      <c r="X404" s="38">
        <f>ROUND((M404*0.9*J402+1.3*M404*0.9*N402+S404*G402),4)</f>
        <v>10.194000000000001</v>
      </c>
      <c r="Y404" s="38">
        <f>ROUND((M404*J402+1.3*M404*N402+S404*G402),4)</f>
        <v>11.22</v>
      </c>
      <c r="Z404" s="276">
        <f>ROUND((P402*T404*F402*O402/1000000),4)</f>
        <v>0.65720000000000001</v>
      </c>
      <c r="AA404" s="276">
        <f>ROUND((Q402*U404*F402*O402/1000000),4)</f>
        <v>0.36230000000000001</v>
      </c>
      <c r="AB404" s="276">
        <f>ROUND((R402*V404*F402*O402/1000000),4)</f>
        <v>0.40239999999999998</v>
      </c>
      <c r="AC404" s="277" t="s">
        <v>547</v>
      </c>
      <c r="AD404" s="278" t="s">
        <v>169</v>
      </c>
      <c r="AE404" s="40">
        <f>ROUND((((X404*E402)/1800)),4)</f>
        <v>1.1299999999999999E-2</v>
      </c>
      <c r="AF404" s="40">
        <f>ROUND(((Z404+AA404+AB404)),5)</f>
        <v>1.4218999999999999</v>
      </c>
      <c r="AG404" s="288"/>
      <c r="AH404" s="254"/>
    </row>
    <row r="405" spans="1:34" s="61" customFormat="1" ht="15" customHeight="1" x14ac:dyDescent="0.25">
      <c r="A405" s="260"/>
      <c r="B405" s="280"/>
      <c r="C405" s="280"/>
      <c r="D405" s="39"/>
      <c r="E405" s="39"/>
      <c r="F405" s="39"/>
      <c r="G405" s="39"/>
      <c r="H405" s="39"/>
      <c r="I405" s="39"/>
      <c r="J405" s="39"/>
      <c r="K405" s="39"/>
      <c r="L405" s="40">
        <v>0.71</v>
      </c>
      <c r="M405" s="40">
        <v>0.85</v>
      </c>
      <c r="N405" s="39"/>
      <c r="O405" s="39"/>
      <c r="P405" s="39"/>
      <c r="Q405" s="39"/>
      <c r="R405" s="39"/>
      <c r="S405" s="285">
        <v>0.49</v>
      </c>
      <c r="T405" s="38">
        <f>ROUND((L405*I402+1.3*L405*K402+S405*H402),4)</f>
        <v>4188.3315000000002</v>
      </c>
      <c r="U405" s="38">
        <f>ROUND((M405*0.9*I402+1.3*M405*0.9*K402+S405*H402),4)</f>
        <v>4510.5023000000001</v>
      </c>
      <c r="V405" s="38">
        <f>ROUND((M405*I402+1.3*M405*K402+S405*H402),4)</f>
        <v>5008.4025000000001</v>
      </c>
      <c r="W405" s="38">
        <f>ROUND((L405*J402+1.3*L405*N402+S405*G402),4)</f>
        <v>22.11</v>
      </c>
      <c r="X405" s="38">
        <f>ROUND((M405*0.9*J402+1.3*M405*0.9*N402+S405*G402),4)</f>
        <v>23.594999999999999</v>
      </c>
      <c r="Y405" s="38">
        <f>ROUND((M405*J402+1.3*N402+S405*G402),4)</f>
        <v>27.84</v>
      </c>
      <c r="Z405" s="276">
        <f>ROUND((P402*T405*F402*O402/1000000),4)</f>
        <v>1.5078</v>
      </c>
      <c r="AA405" s="276">
        <f>ROUND((Q402*U405*F402*O402/1000000),4)</f>
        <v>0.81189999999999996</v>
      </c>
      <c r="AB405" s="276">
        <f>ROUND((R402*V405*F402*O402/1000000),4)</f>
        <v>0.90149999999999997</v>
      </c>
      <c r="AC405" s="277" t="s">
        <v>548</v>
      </c>
      <c r="AD405" s="278" t="s">
        <v>549</v>
      </c>
      <c r="AE405" s="40">
        <f>ROUND((((X405*E402)/1800)),4)</f>
        <v>2.6200000000000001E-2</v>
      </c>
      <c r="AF405" s="40">
        <f>ROUND(((Z405+AA405+AB405)),4)</f>
        <v>3.2212000000000001</v>
      </c>
      <c r="AG405" s="288"/>
      <c r="AH405" s="254"/>
    </row>
    <row r="406" spans="1:34" s="61" customFormat="1" ht="15" customHeight="1" x14ac:dyDescent="0.25">
      <c r="A406" s="260"/>
      <c r="B406" s="280"/>
      <c r="C406" s="280"/>
      <c r="D406" s="39"/>
      <c r="E406" s="39"/>
      <c r="F406" s="39"/>
      <c r="G406" s="39"/>
      <c r="H406" s="39"/>
      <c r="I406" s="39"/>
      <c r="J406" s="39"/>
      <c r="K406" s="39"/>
      <c r="L406" s="40">
        <v>0.45</v>
      </c>
      <c r="M406" s="40">
        <v>0.67</v>
      </c>
      <c r="N406" s="39"/>
      <c r="O406" s="39"/>
      <c r="P406" s="39"/>
      <c r="Q406" s="39"/>
      <c r="R406" s="39"/>
      <c r="S406" s="285">
        <v>0.1</v>
      </c>
      <c r="T406" s="38">
        <f>ROUND((L406*I402+1.3*L406*K402+S406*H402),4)</f>
        <v>2641.9425000000001</v>
      </c>
      <c r="U406" s="38">
        <f>ROUND((M406*0.9*I402+1.3*M406*0.9*K402+S406*H402),4)</f>
        <v>3538.163</v>
      </c>
      <c r="V406" s="38">
        <f>ROUND((M406*I402+1.3*M406*K402+S406*H402),4)</f>
        <v>3930.6255000000001</v>
      </c>
      <c r="W406" s="38">
        <f>ROUND((L406*J402+1.3*L406*N402+S406*G402),4)</f>
        <v>12.75</v>
      </c>
      <c r="X406" s="38">
        <f>ROUND((M406*0.9*J402+1.3*M406*0.9*N402+S406*G402),4)</f>
        <v>16.881</v>
      </c>
      <c r="Y406" s="38">
        <f>ROUND((M406*J402+1.3*M406*N402+S406*G402),4)</f>
        <v>18.690000000000001</v>
      </c>
      <c r="Z406" s="276">
        <f>ROUND((P402*T406*F402*O402/1000000),4)</f>
        <v>0.95109999999999995</v>
      </c>
      <c r="AA406" s="276">
        <f>ROUND((Q402*U406*F402*O402/1000000),4)</f>
        <v>0.63690000000000002</v>
      </c>
      <c r="AB406" s="276">
        <f>ROUND((R402*V406*F402*O402/1000000),4)</f>
        <v>0.70750000000000002</v>
      </c>
      <c r="AC406" s="277" t="s">
        <v>172</v>
      </c>
      <c r="AD406" s="278" t="s">
        <v>173</v>
      </c>
      <c r="AE406" s="40">
        <f>ROUND((((X406*E402)/1800)),4)</f>
        <v>1.8800000000000001E-2</v>
      </c>
      <c r="AF406" s="40">
        <f>ROUND(((Z406+AA406+AB406)),4)</f>
        <v>2.2955000000000001</v>
      </c>
      <c r="AG406" s="288"/>
      <c r="AH406" s="254"/>
    </row>
    <row r="407" spans="1:34" s="61" customFormat="1" ht="15" customHeight="1" x14ac:dyDescent="0.25">
      <c r="A407" s="260"/>
      <c r="B407" s="286"/>
      <c r="C407" s="286"/>
      <c r="D407" s="119"/>
      <c r="E407" s="119"/>
      <c r="F407" s="119"/>
      <c r="G407" s="119"/>
      <c r="H407" s="119"/>
      <c r="I407" s="119"/>
      <c r="J407" s="119"/>
      <c r="K407" s="119"/>
      <c r="L407" s="40">
        <v>2.09</v>
      </c>
      <c r="M407" s="40">
        <v>2.5499999999999998</v>
      </c>
      <c r="N407" s="119"/>
      <c r="O407" s="119"/>
      <c r="P407" s="119"/>
      <c r="Q407" s="119"/>
      <c r="R407" s="119"/>
      <c r="S407" s="285">
        <v>3.91</v>
      </c>
      <c r="T407" s="38">
        <f>ROUND((L407*I402+1.3*L407*K402+S407*H402),4)</f>
        <v>12477.0885</v>
      </c>
      <c r="U407" s="38">
        <f>ROUND((M407*0.9*I402+1.3*M407*0.9*K402+S407*H402),4)</f>
        <v>13677.906800000001</v>
      </c>
      <c r="V407" s="38">
        <f>ROUND((M407*I402+1.3*M407*K402+S407*H402),4)</f>
        <v>15171.6075</v>
      </c>
      <c r="W407" s="38">
        <f>ROUND((L407*J402+1.3*L407*N402+S407*G402),4)</f>
        <v>79.89</v>
      </c>
      <c r="X407" s="38">
        <f>ROUND((M407*0.9*J402+1.3*M407*0.9*N402+S407*G402),4)</f>
        <v>85.424999999999997</v>
      </c>
      <c r="Y407" s="38">
        <f>ROUND((M407*J402+1.3*M407*N402+S407*G402),4)</f>
        <v>92.31</v>
      </c>
      <c r="Z407" s="276">
        <f>ROUND((P402*T407*F402*O402/1000000),4)</f>
        <v>4.4917999999999996</v>
      </c>
      <c r="AA407" s="276">
        <f>ROUND((Q402*U407*F402*O402/1000000),4)</f>
        <v>2.4620000000000002</v>
      </c>
      <c r="AB407" s="276">
        <f>ROUND((R402*V407*F402*O402/1000000),4)</f>
        <v>2.7309000000000001</v>
      </c>
      <c r="AC407" s="277" t="s">
        <v>157</v>
      </c>
      <c r="AD407" s="278" t="s">
        <v>153</v>
      </c>
      <c r="AE407" s="40">
        <f>ROUND((((X407*E402)/1800)),4)</f>
        <v>9.4899999999999998E-2</v>
      </c>
      <c r="AF407" s="40">
        <f>ROUND(((Z407+AA407+AB407)),4)</f>
        <v>9.6846999999999994</v>
      </c>
      <c r="AG407" s="288"/>
      <c r="AH407" s="254"/>
    </row>
    <row r="408" spans="1:34" s="61" customFormat="1" ht="15" customHeight="1" x14ac:dyDescent="0.25">
      <c r="A408" s="260"/>
      <c r="B408" s="274" t="s">
        <v>554</v>
      </c>
      <c r="C408" s="274">
        <v>5</v>
      </c>
      <c r="D408" s="38" t="s">
        <v>552</v>
      </c>
      <c r="E408" s="38">
        <v>1</v>
      </c>
      <c r="F408" s="38">
        <v>1</v>
      </c>
      <c r="G408" s="38">
        <v>6</v>
      </c>
      <c r="H408" s="38">
        <v>60</v>
      </c>
      <c r="I408" s="38">
        <f>(8-1-0.75*2)*60*F408-K408-8*0.12*60</f>
        <v>57.900000000000006</v>
      </c>
      <c r="J408" s="38">
        <v>14</v>
      </c>
      <c r="K408" s="38">
        <f>(8-1-0.75*2)*0.65*60*F408</f>
        <v>214.5</v>
      </c>
      <c r="L408" s="38">
        <v>4.01</v>
      </c>
      <c r="M408" s="38">
        <v>4.01</v>
      </c>
      <c r="N408" s="38">
        <v>10</v>
      </c>
      <c r="O408" s="38">
        <f>E408/F408</f>
        <v>1</v>
      </c>
      <c r="P408" s="38">
        <v>180</v>
      </c>
      <c r="Q408" s="38">
        <v>90</v>
      </c>
      <c r="R408" s="275">
        <v>90</v>
      </c>
      <c r="S408" s="275">
        <v>0.78</v>
      </c>
      <c r="T408" s="38">
        <f>ROUND((L408*I408+1.3*L408*K408+S408*H408),4)</f>
        <v>1397.1675</v>
      </c>
      <c r="U408" s="38">
        <f>ROUND((M408*I408+1.3*M408*K408+S408*H408),4)</f>
        <v>1397.1675</v>
      </c>
      <c r="V408" s="38">
        <f>ROUND((M408*I408+1.3*M408*K408+S408*H408),4)</f>
        <v>1397.1675</v>
      </c>
      <c r="W408" s="38">
        <f>ROUND((L408*J408+1.3*L408*N408+S408*G408),4)</f>
        <v>112.95</v>
      </c>
      <c r="X408" s="38">
        <f>ROUND((M408*J408+1.3*M408*N408+S408*G408),4)</f>
        <v>112.95</v>
      </c>
      <c r="Y408" s="38">
        <f>ROUND((M408*J408+1.3*M408*N408+S408*G408),4)</f>
        <v>112.95</v>
      </c>
      <c r="Z408" s="276">
        <f>ROUND((P408*T408*F408*O408/1000000),4)</f>
        <v>0.2515</v>
      </c>
      <c r="AA408" s="276">
        <f>ROUND((Q408*U408*F408*O408/1000000),4)</f>
        <v>0.12570000000000001</v>
      </c>
      <c r="AB408" s="276">
        <f>ROUND((R408*V408*F408*O408/1000000),4)</f>
        <v>0.12570000000000001</v>
      </c>
      <c r="AC408" s="277" t="s">
        <v>165</v>
      </c>
      <c r="AD408" s="278" t="s">
        <v>144</v>
      </c>
      <c r="AE408" s="40">
        <f>ROUND((((X408*E408)/1800)*0.8),4)</f>
        <v>5.0200000000000002E-2</v>
      </c>
      <c r="AF408" s="40">
        <f>ROUND(((Z408+AA408+AB408)*0.8),4)</f>
        <v>0.40229999999999999</v>
      </c>
      <c r="AG408" s="254"/>
      <c r="AH408" s="254"/>
    </row>
    <row r="409" spans="1:34" s="61" customFormat="1" ht="15" customHeight="1" x14ac:dyDescent="0.25">
      <c r="A409" s="260"/>
      <c r="B409" s="279" t="s">
        <v>555</v>
      </c>
      <c r="C409" s="280"/>
      <c r="D409" s="39"/>
      <c r="E409" s="39"/>
      <c r="F409" s="39"/>
      <c r="G409" s="39"/>
      <c r="H409" s="39"/>
      <c r="I409" s="39"/>
      <c r="J409" s="39"/>
      <c r="K409" s="39"/>
      <c r="L409" s="119"/>
      <c r="M409" s="119"/>
      <c r="N409" s="39"/>
      <c r="O409" s="39"/>
      <c r="P409" s="39"/>
      <c r="Q409" s="39"/>
      <c r="R409" s="39"/>
      <c r="S409" s="281"/>
      <c r="T409" s="39"/>
      <c r="U409" s="39"/>
      <c r="V409" s="39"/>
      <c r="W409" s="39"/>
      <c r="X409" s="39"/>
      <c r="Y409" s="39"/>
      <c r="Z409" s="39"/>
      <c r="AA409" s="39"/>
      <c r="AB409" s="39"/>
      <c r="AC409" s="277" t="s">
        <v>166</v>
      </c>
      <c r="AD409" s="278" t="s">
        <v>167</v>
      </c>
      <c r="AE409" s="40">
        <f>ROUND((((X408*E408)/1800)*0.13),4)</f>
        <v>8.2000000000000007E-3</v>
      </c>
      <c r="AF409" s="40">
        <f>ROUND(((Z408+AA408+AB408)*0.13),4)</f>
        <v>6.54E-2</v>
      </c>
      <c r="AG409" s="254"/>
      <c r="AH409" s="254"/>
    </row>
    <row r="410" spans="1:34" s="61" customFormat="1" ht="15" customHeight="1" x14ac:dyDescent="0.25">
      <c r="A410" s="260"/>
      <c r="B410" s="280"/>
      <c r="C410" s="282"/>
      <c r="D410" s="283"/>
      <c r="E410" s="39"/>
      <c r="F410" s="39"/>
      <c r="G410" s="39"/>
      <c r="H410" s="39"/>
      <c r="I410" s="39"/>
      <c r="J410" s="39"/>
      <c r="K410" s="39"/>
      <c r="L410" s="40">
        <v>0.31</v>
      </c>
      <c r="M410" s="40">
        <v>0.38</v>
      </c>
      <c r="N410" s="39"/>
      <c r="O410" s="39"/>
      <c r="P410" s="39"/>
      <c r="Q410" s="39"/>
      <c r="R410" s="39"/>
      <c r="S410" s="284">
        <v>0.16</v>
      </c>
      <c r="T410" s="38">
        <f>ROUND((L410*I408+1.3*L410*K408+S410*H408),4)</f>
        <v>113.99250000000001</v>
      </c>
      <c r="U410" s="38">
        <f>ROUND((M410*0.9*I408+1.3*M410*0.9*K408+S410*H408),4)</f>
        <v>124.7685</v>
      </c>
      <c r="V410" s="38">
        <f>ROUND((M410*I408+1.3*M410*K408+S410*H408),4)</f>
        <v>137.565</v>
      </c>
      <c r="W410" s="38">
        <f>ROUND((L410*J408+1.3*L410*N408+S410*G408),4)</f>
        <v>9.33</v>
      </c>
      <c r="X410" s="38">
        <f>ROUND((M410*0.9*J408+1.3*M410*0.9*N408+S410*G408),4)</f>
        <v>10.194000000000001</v>
      </c>
      <c r="Y410" s="38">
        <f>ROUND((M410*J408+1.3*M410*N408+S410*G408),4)</f>
        <v>11.22</v>
      </c>
      <c r="Z410" s="276">
        <f>ROUND((P408*T410*F408*O408/1000000),4)</f>
        <v>2.0500000000000001E-2</v>
      </c>
      <c r="AA410" s="276">
        <f>ROUND((Q408*U410*F408*O408/1000000),4)</f>
        <v>1.12E-2</v>
      </c>
      <c r="AB410" s="276">
        <f>ROUND((R408*V410*F408*O408/1000000),4)</f>
        <v>1.24E-2</v>
      </c>
      <c r="AC410" s="277" t="s">
        <v>547</v>
      </c>
      <c r="AD410" s="278" t="s">
        <v>169</v>
      </c>
      <c r="AE410" s="40">
        <f>ROUND((((X410*E408)/1800)),4)</f>
        <v>5.7000000000000002E-3</v>
      </c>
      <c r="AF410" s="40">
        <f>ROUND(((Z410+AA410+AB410)),5)</f>
        <v>4.41E-2</v>
      </c>
      <c r="AG410" s="254"/>
      <c r="AH410" s="254"/>
    </row>
    <row r="411" spans="1:34" s="61" customFormat="1" ht="15" customHeight="1" x14ac:dyDescent="0.25">
      <c r="A411" s="260"/>
      <c r="B411" s="280"/>
      <c r="C411" s="280"/>
      <c r="D411" s="39"/>
      <c r="E411" s="39"/>
      <c r="F411" s="39"/>
      <c r="G411" s="39"/>
      <c r="H411" s="39"/>
      <c r="I411" s="39"/>
      <c r="J411" s="39"/>
      <c r="K411" s="39"/>
      <c r="L411" s="40">
        <v>0.71</v>
      </c>
      <c r="M411" s="40">
        <v>0.85</v>
      </c>
      <c r="N411" s="39"/>
      <c r="O411" s="39"/>
      <c r="P411" s="39"/>
      <c r="Q411" s="39"/>
      <c r="R411" s="39"/>
      <c r="S411" s="285">
        <v>0.49</v>
      </c>
      <c r="T411" s="38">
        <f>ROUND((L411*I408+1.3*L411*K408+S411*H408),4)</f>
        <v>268.49250000000001</v>
      </c>
      <c r="U411" s="38">
        <f>ROUND((M411*0.9*I408+1.3*M411*0.9*K408+S411*H408),4)</f>
        <v>287.0138</v>
      </c>
      <c r="V411" s="38">
        <f>ROUND((M411*I408+1.3*M411*K408+S411*H408),4)</f>
        <v>315.63749999999999</v>
      </c>
      <c r="W411" s="38">
        <f>ROUND((L411*J408+1.3*L411*N408+S411*G408),4)</f>
        <v>22.11</v>
      </c>
      <c r="X411" s="38">
        <f>ROUND((M411*0.9*J408+1.3*M411*0.9*N408+S411*G408),4)</f>
        <v>23.594999999999999</v>
      </c>
      <c r="Y411" s="38">
        <f>ROUND((M411*J408+1.3*N408+S411*G408),4)</f>
        <v>27.84</v>
      </c>
      <c r="Z411" s="276">
        <f>ROUND((P408*T411*F408*O408/1000000),4)</f>
        <v>4.8300000000000003E-2</v>
      </c>
      <c r="AA411" s="276">
        <f>ROUND((Q408*U411*F408*O408/1000000),4)</f>
        <v>2.58E-2</v>
      </c>
      <c r="AB411" s="276">
        <f>ROUND((R408*V411*F408*O408/1000000),4)</f>
        <v>2.8400000000000002E-2</v>
      </c>
      <c r="AC411" s="277" t="s">
        <v>548</v>
      </c>
      <c r="AD411" s="278" t="s">
        <v>549</v>
      </c>
      <c r="AE411" s="40">
        <f>ROUND((((X411*E408)/1800)),4)</f>
        <v>1.3100000000000001E-2</v>
      </c>
      <c r="AF411" s="40">
        <f>ROUND(((Z411+AA411+AB411)),4)</f>
        <v>0.10249999999999999</v>
      </c>
      <c r="AG411" s="254"/>
      <c r="AH411" s="254"/>
    </row>
    <row r="412" spans="1:34" s="61" customFormat="1" ht="15" customHeight="1" x14ac:dyDescent="0.25">
      <c r="A412" s="260"/>
      <c r="B412" s="280"/>
      <c r="C412" s="280"/>
      <c r="D412" s="39"/>
      <c r="E412" s="39"/>
      <c r="F412" s="39"/>
      <c r="G412" s="39"/>
      <c r="H412" s="39"/>
      <c r="I412" s="39"/>
      <c r="J412" s="39"/>
      <c r="K412" s="39"/>
      <c r="L412" s="40">
        <v>0.45</v>
      </c>
      <c r="M412" s="40">
        <v>0.67</v>
      </c>
      <c r="N412" s="39"/>
      <c r="O412" s="39"/>
      <c r="P412" s="39"/>
      <c r="Q412" s="39"/>
      <c r="R412" s="39"/>
      <c r="S412" s="285">
        <v>0.1</v>
      </c>
      <c r="T412" s="38">
        <f>ROUND((L412*I408+1.3*L412*K408+S412*H408),4)</f>
        <v>157.53749999999999</v>
      </c>
      <c r="U412" s="38">
        <f>ROUND((M412*0.9*I408+1.3*M412*0.9*K408+S412*H408),4)</f>
        <v>209.06030000000001</v>
      </c>
      <c r="V412" s="38">
        <f>ROUND((M412*I408+1.3*M412*K408+S412*H408),4)</f>
        <v>231.6225</v>
      </c>
      <c r="W412" s="38">
        <f>ROUND((L412*J408+1.3*L412*N408+S412*G408),4)</f>
        <v>12.75</v>
      </c>
      <c r="X412" s="38">
        <f>ROUND((M412*0.9*J408+1.3*M412*0.9*N408+S412*G408),4)</f>
        <v>16.881</v>
      </c>
      <c r="Y412" s="38">
        <f>ROUND((M412*J408+1.3*M412*N408+S412*G408),4)</f>
        <v>18.690000000000001</v>
      </c>
      <c r="Z412" s="276">
        <f>ROUND((P408*T412*F408*O408/1000000),4)</f>
        <v>2.8400000000000002E-2</v>
      </c>
      <c r="AA412" s="276">
        <f>ROUND((Q408*U412*F408*O408/1000000),4)</f>
        <v>1.8800000000000001E-2</v>
      </c>
      <c r="AB412" s="276">
        <f>ROUND((R408*V412*F408*O408/1000000),4)</f>
        <v>2.0799999999999999E-2</v>
      </c>
      <c r="AC412" s="277" t="s">
        <v>172</v>
      </c>
      <c r="AD412" s="278" t="s">
        <v>173</v>
      </c>
      <c r="AE412" s="40">
        <f>ROUND((((X412*E408)/1800)),4)</f>
        <v>9.4000000000000004E-3</v>
      </c>
      <c r="AF412" s="40">
        <f>ROUND(((Z412+AA412+AB412)),4)</f>
        <v>6.8000000000000005E-2</v>
      </c>
      <c r="AG412" s="254"/>
      <c r="AH412" s="254"/>
    </row>
    <row r="413" spans="1:34" s="61" customFormat="1" ht="15" customHeight="1" x14ac:dyDescent="0.25">
      <c r="A413" s="260"/>
      <c r="B413" s="286"/>
      <c r="C413" s="286"/>
      <c r="D413" s="119"/>
      <c r="E413" s="119"/>
      <c r="F413" s="119"/>
      <c r="G413" s="119"/>
      <c r="H413" s="119"/>
      <c r="I413" s="119"/>
      <c r="J413" s="119"/>
      <c r="K413" s="119"/>
      <c r="L413" s="40">
        <v>2.09</v>
      </c>
      <c r="M413" s="40">
        <v>2.5499999999999998</v>
      </c>
      <c r="N413" s="119"/>
      <c r="O413" s="119"/>
      <c r="P413" s="119"/>
      <c r="Q413" s="119"/>
      <c r="R413" s="119"/>
      <c r="S413" s="285">
        <v>3.91</v>
      </c>
      <c r="T413" s="38">
        <f>ROUND((L413*I408+1.3*L413*K408+S413*H408),4)</f>
        <v>938.40750000000003</v>
      </c>
      <c r="U413" s="38">
        <f>ROUND((M413*0.9*I408+1.3*M413*0.9*K408+S413*H408),4)</f>
        <v>1007.4413</v>
      </c>
      <c r="V413" s="38">
        <f>ROUND((M413*I408+1.3*M413*K408+S413*H408),4)</f>
        <v>1093.3125</v>
      </c>
      <c r="W413" s="38">
        <f>ROUND((L413*J408+1.3*L413*N408+S413*G408),4)</f>
        <v>79.89</v>
      </c>
      <c r="X413" s="38">
        <f>ROUND((M413*0.9*J408+1.3*M413*0.9*N408+S413*G408),4)</f>
        <v>85.424999999999997</v>
      </c>
      <c r="Y413" s="38">
        <f>ROUND((M413*J408+1.3*M413*N408+S413*G408),4)</f>
        <v>92.31</v>
      </c>
      <c r="Z413" s="276">
        <f>ROUND((P408*T413*F408*O408/1000000),4)</f>
        <v>0.16889999999999999</v>
      </c>
      <c r="AA413" s="276">
        <f>ROUND((Q408*U413*F408*O408/1000000),4)</f>
        <v>9.0700000000000003E-2</v>
      </c>
      <c r="AB413" s="276">
        <f>ROUND((R408*V413*F408*O408/1000000),4)</f>
        <v>9.8400000000000001E-2</v>
      </c>
      <c r="AC413" s="277" t="s">
        <v>157</v>
      </c>
      <c r="AD413" s="278" t="s">
        <v>153</v>
      </c>
      <c r="AE413" s="40">
        <f>ROUND((((X413*E408)/1800)),4)</f>
        <v>4.7500000000000001E-2</v>
      </c>
      <c r="AF413" s="40">
        <f>ROUND(((Z413+AA413+AB413)),4)</f>
        <v>0.35799999999999998</v>
      </c>
      <c r="AG413" s="254"/>
      <c r="AH413" s="254"/>
    </row>
    <row r="414" spans="1:34" s="61" customFormat="1" ht="15" customHeight="1" x14ac:dyDescent="0.25">
      <c r="A414" s="260"/>
      <c r="B414" s="274" t="s">
        <v>551</v>
      </c>
      <c r="C414" s="274">
        <v>6</v>
      </c>
      <c r="D414" s="38" t="s">
        <v>556</v>
      </c>
      <c r="E414" s="38">
        <v>1</v>
      </c>
      <c r="F414" s="38">
        <v>10</v>
      </c>
      <c r="G414" s="38">
        <v>6</v>
      </c>
      <c r="H414" s="38">
        <v>60</v>
      </c>
      <c r="I414" s="38">
        <f>(8-1-0.75*2)*60*F414-K414-8*0.12*60</f>
        <v>1097.4000000000001</v>
      </c>
      <c r="J414" s="38">
        <v>14</v>
      </c>
      <c r="K414" s="38">
        <f>(8-1-0.75*2)*0.65*60*F414</f>
        <v>2145</v>
      </c>
      <c r="L414" s="38">
        <v>6.47</v>
      </c>
      <c r="M414" s="38">
        <v>6.47</v>
      </c>
      <c r="N414" s="38">
        <v>10</v>
      </c>
      <c r="O414" s="38">
        <f>E414/F414</f>
        <v>0.1</v>
      </c>
      <c r="P414" s="38">
        <v>180</v>
      </c>
      <c r="Q414" s="38">
        <v>90</v>
      </c>
      <c r="R414" s="275">
        <v>90</v>
      </c>
      <c r="S414" s="275">
        <v>1.27</v>
      </c>
      <c r="T414" s="38">
        <f>ROUND((L414*I414+1.3*L414*K414+S414*H414),4)</f>
        <v>25217.973000000002</v>
      </c>
      <c r="U414" s="38">
        <f>ROUND((M414*I414+1.3*M414*K414+S414*H414),4)</f>
        <v>25217.973000000002</v>
      </c>
      <c r="V414" s="38">
        <f>ROUND((M414*I414+1.3*M414*K414+S414*H414),4)</f>
        <v>25217.973000000002</v>
      </c>
      <c r="W414" s="38">
        <f>ROUND((L414*J414+1.3*L414*N414+S414*G414),4)</f>
        <v>182.31</v>
      </c>
      <c r="X414" s="38">
        <f>ROUND((M414*J414+1.3*M414*N414+S414*G414),4)</f>
        <v>182.31</v>
      </c>
      <c r="Y414" s="38">
        <f>ROUND((M414*J414+1.3*M414*N414+S414*G414),4)</f>
        <v>182.31</v>
      </c>
      <c r="Z414" s="276">
        <f>ROUND((P414*T414*F414*O414/1000000),4)</f>
        <v>4.5392000000000001</v>
      </c>
      <c r="AA414" s="276">
        <f>ROUND((Q414*U414*F414*O414/1000000),4)</f>
        <v>2.2696000000000001</v>
      </c>
      <c r="AB414" s="276">
        <f>ROUND((R414*V414*F414*O414/1000000),4)</f>
        <v>2.2696000000000001</v>
      </c>
      <c r="AC414" s="277" t="s">
        <v>165</v>
      </c>
      <c r="AD414" s="278" t="s">
        <v>144</v>
      </c>
      <c r="AE414" s="40">
        <f>ROUND((((X414*E414)/1800)*0.8),4)</f>
        <v>8.1000000000000003E-2</v>
      </c>
      <c r="AF414" s="40">
        <f>ROUND(((Z414+AA414+AB414)*0.8),4)</f>
        <v>7.2626999999999997</v>
      </c>
      <c r="AG414" s="254"/>
      <c r="AH414" s="254"/>
    </row>
    <row r="415" spans="1:34" s="61" customFormat="1" ht="15" customHeight="1" x14ac:dyDescent="0.25">
      <c r="A415" s="260"/>
      <c r="B415" s="280" t="s">
        <v>557</v>
      </c>
      <c r="C415" s="39"/>
      <c r="D415" s="39"/>
      <c r="E415" s="39"/>
      <c r="F415" s="39"/>
      <c r="G415" s="39"/>
      <c r="H415" s="39"/>
      <c r="I415" s="39"/>
      <c r="J415" s="39"/>
      <c r="K415" s="39"/>
      <c r="L415" s="119"/>
      <c r="M415" s="119"/>
      <c r="N415" s="39"/>
      <c r="O415" s="39"/>
      <c r="P415" s="39"/>
      <c r="Q415" s="39"/>
      <c r="R415" s="39"/>
      <c r="S415" s="281"/>
      <c r="T415" s="39"/>
      <c r="U415" s="39"/>
      <c r="V415" s="39"/>
      <c r="W415" s="39"/>
      <c r="X415" s="39"/>
      <c r="Y415" s="39"/>
      <c r="Z415" s="39"/>
      <c r="AA415" s="39"/>
      <c r="AB415" s="39"/>
      <c r="AC415" s="277" t="s">
        <v>166</v>
      </c>
      <c r="AD415" s="278" t="s">
        <v>167</v>
      </c>
      <c r="AE415" s="40">
        <f>ROUND((((X414*E414)/1800)*0.13),4)</f>
        <v>1.32E-2</v>
      </c>
      <c r="AF415" s="40">
        <f>ROUND(((Z414+AA414+AB414)*0.13),4)</f>
        <v>1.1801999999999999</v>
      </c>
      <c r="AG415" s="254"/>
      <c r="AH415" s="254"/>
    </row>
    <row r="416" spans="1:34" s="61" customFormat="1" ht="15" customHeight="1" x14ac:dyDescent="0.25">
      <c r="A416" s="260"/>
      <c r="B416" s="287"/>
      <c r="C416" s="283"/>
      <c r="D416" s="283"/>
      <c r="E416" s="39"/>
      <c r="F416" s="39"/>
      <c r="G416" s="39"/>
      <c r="H416" s="39"/>
      <c r="I416" s="39"/>
      <c r="J416" s="39"/>
      <c r="K416" s="39"/>
      <c r="L416" s="40">
        <v>0.51</v>
      </c>
      <c r="M416" s="40">
        <v>0.63</v>
      </c>
      <c r="N416" s="39"/>
      <c r="O416" s="39"/>
      <c r="P416" s="39"/>
      <c r="Q416" s="39"/>
      <c r="R416" s="39"/>
      <c r="S416" s="284">
        <v>0.25</v>
      </c>
      <c r="T416" s="38">
        <f>ROUND((L416*I414+1.3*L416*K414+S416*H414),4)</f>
        <v>1996.809</v>
      </c>
      <c r="U416" s="38">
        <f>ROUND((M416*0.9*I414+1.3*M416*0.9*K414+S416*H414),4)</f>
        <v>2218.3053</v>
      </c>
      <c r="V416" s="38">
        <f>ROUND((M416*I414+1.3*M416*K414+S416*H414),4)</f>
        <v>2463.1170000000002</v>
      </c>
      <c r="W416" s="38">
        <f>ROUND((L416*J414+1.3*L416*N414+S416*G414),4)</f>
        <v>15.27</v>
      </c>
      <c r="X416" s="38">
        <f>ROUND((M416*0.9*J414+1.3*M416*0.9*N414+S416*G414),4)</f>
        <v>16.809000000000001</v>
      </c>
      <c r="Y416" s="38">
        <f>ROUND((M416*J414+1.3*M416*N414+S416*G414),4)</f>
        <v>18.510000000000002</v>
      </c>
      <c r="Z416" s="276">
        <f>ROUND((P414*T416*F414*O414/1000000),4)</f>
        <v>0.3594</v>
      </c>
      <c r="AA416" s="276">
        <f>ROUND((Q414*U416*F414*O414/1000000),4)</f>
        <v>0.1996</v>
      </c>
      <c r="AB416" s="276">
        <f>ROUND((R414*V416*F414*O414/1000000),4)</f>
        <v>0.22170000000000001</v>
      </c>
      <c r="AC416" s="277" t="s">
        <v>547</v>
      </c>
      <c r="AD416" s="278" t="s">
        <v>169</v>
      </c>
      <c r="AE416" s="40">
        <f>ROUND((((X416*E414)/1800)),4)</f>
        <v>9.2999999999999992E-3</v>
      </c>
      <c r="AF416" s="40">
        <f>ROUND(((Z416+AA416+AB416)),5)</f>
        <v>0.78069999999999995</v>
      </c>
      <c r="AG416" s="254"/>
      <c r="AH416" s="254"/>
    </row>
    <row r="417" spans="1:34" s="61" customFormat="1" ht="15" customHeight="1" x14ac:dyDescent="0.25">
      <c r="A417" s="260"/>
      <c r="B417" s="280"/>
      <c r="C417" s="39"/>
      <c r="D417" s="39"/>
      <c r="E417" s="39"/>
      <c r="F417" s="39"/>
      <c r="G417" s="39"/>
      <c r="H417" s="39"/>
      <c r="I417" s="39"/>
      <c r="J417" s="39"/>
      <c r="K417" s="39"/>
      <c r="L417" s="40">
        <v>1.1399999999999999</v>
      </c>
      <c r="M417" s="40">
        <v>1.37</v>
      </c>
      <c r="N417" s="39"/>
      <c r="O417" s="39"/>
      <c r="P417" s="39"/>
      <c r="Q417" s="39"/>
      <c r="R417" s="39"/>
      <c r="S417" s="285">
        <v>0.79</v>
      </c>
      <c r="T417" s="38">
        <f>ROUND((L417*I414+1.3*L417*K414+S417*H414),4)</f>
        <v>4477.326</v>
      </c>
      <c r="U417" s="38">
        <f>ROUND((M417*0.9*I414+1.3*M417*0.9*K414+S417*H414),4)</f>
        <v>4838.7147000000004</v>
      </c>
      <c r="V417" s="38">
        <f>ROUND((M417*I414+1.3*M417*K414+S417*H414),4)</f>
        <v>5371.0829999999996</v>
      </c>
      <c r="W417" s="38">
        <f>ROUND((L417*J414+1.3*L417*N414+S417*G414),4)</f>
        <v>35.520000000000003</v>
      </c>
      <c r="X417" s="38">
        <f>ROUND((M417*0.9*J414+1.3*M417*0.9*N414+S417*G414),4)</f>
        <v>38.030999999999999</v>
      </c>
      <c r="Y417" s="38">
        <f>ROUND((M417*J414+1.3*N414+S417*G414),4)</f>
        <v>36.92</v>
      </c>
      <c r="Z417" s="276">
        <f>ROUND((P414*T417*F414*O414/1000000),4)</f>
        <v>0.80589999999999995</v>
      </c>
      <c r="AA417" s="276">
        <f>ROUND((Q414*U417*F414*O414/1000000),4)</f>
        <v>0.4355</v>
      </c>
      <c r="AB417" s="276">
        <f>ROUND((R414*V417*F414*O414/1000000),4)</f>
        <v>0.4834</v>
      </c>
      <c r="AC417" s="277" t="s">
        <v>548</v>
      </c>
      <c r="AD417" s="278" t="s">
        <v>549</v>
      </c>
      <c r="AE417" s="40">
        <f>ROUND((((X417*E414)/1800)),4)</f>
        <v>2.1100000000000001E-2</v>
      </c>
      <c r="AF417" s="40">
        <f>ROUND(((Z417+AA417+AB417)),4)</f>
        <v>1.7248000000000001</v>
      </c>
      <c r="AG417" s="254"/>
      <c r="AH417" s="254"/>
    </row>
    <row r="418" spans="1:34" s="61" customFormat="1" ht="15" customHeight="1" x14ac:dyDescent="0.25">
      <c r="A418" s="260"/>
      <c r="B418" s="280"/>
      <c r="C418" s="39"/>
      <c r="D418" s="39"/>
      <c r="E418" s="39"/>
      <c r="F418" s="39"/>
      <c r="G418" s="39"/>
      <c r="H418" s="39"/>
      <c r="I418" s="39"/>
      <c r="J418" s="39"/>
      <c r="K418" s="39"/>
      <c r="L418" s="40">
        <v>0.72</v>
      </c>
      <c r="M418" s="40">
        <v>1.08</v>
      </c>
      <c r="N418" s="39"/>
      <c r="O418" s="39"/>
      <c r="P418" s="39"/>
      <c r="Q418" s="39"/>
      <c r="R418" s="39"/>
      <c r="S418" s="285">
        <v>0.17</v>
      </c>
      <c r="T418" s="38">
        <f>ROUND((L418*I414+1.3*L418*K414+S418*H414),4)</f>
        <v>2808.0479999999998</v>
      </c>
      <c r="U418" s="38">
        <f>ROUND((M418*0.9*I414+1.3*M418*0.9*K414+S418*H414),4)</f>
        <v>3787.2948000000001</v>
      </c>
      <c r="V418" s="38">
        <f>ROUND((M418*I414+1.3*M418*K414+S418*H414),4)</f>
        <v>4206.9719999999998</v>
      </c>
      <c r="W418" s="38">
        <f>ROUND((L418*J414+1.3*L418*N414+S418*G414),4)</f>
        <v>20.46</v>
      </c>
      <c r="X418" s="38">
        <f>ROUND((M418*0.9*J414+1.3*M418*0.9*N414+S418*G414),4)</f>
        <v>27.263999999999999</v>
      </c>
      <c r="Y418" s="38">
        <f>ROUND((M418*J414+1.3*M418*N414+S418*G414),4)</f>
        <v>30.18</v>
      </c>
      <c r="Z418" s="276">
        <f>ROUND((P414*T418*F414*O414/1000000),4)</f>
        <v>0.50539999999999996</v>
      </c>
      <c r="AA418" s="276">
        <f>ROUND((Q414*U418*F414*O414/1000000),4)</f>
        <v>0.34089999999999998</v>
      </c>
      <c r="AB418" s="276">
        <f>ROUND((R414*V418*F414*O414/1000000),4)</f>
        <v>0.37859999999999999</v>
      </c>
      <c r="AC418" s="277" t="s">
        <v>172</v>
      </c>
      <c r="AD418" s="278" t="s">
        <v>173</v>
      </c>
      <c r="AE418" s="40">
        <f>ROUND((((X418*E414)/1800)),4)</f>
        <v>1.5100000000000001E-2</v>
      </c>
      <c r="AF418" s="40">
        <f>ROUND(((Z418+AA418+AB418)),4)</f>
        <v>1.2249000000000001</v>
      </c>
      <c r="AG418" s="254"/>
      <c r="AH418" s="254"/>
    </row>
    <row r="419" spans="1:34" s="61" customFormat="1" ht="15" customHeight="1" x14ac:dyDescent="0.25">
      <c r="A419" s="260"/>
      <c r="B419" s="286"/>
      <c r="C419" s="119"/>
      <c r="D419" s="119"/>
      <c r="E419" s="119"/>
      <c r="F419" s="119"/>
      <c r="G419" s="119"/>
      <c r="H419" s="119"/>
      <c r="I419" s="119"/>
      <c r="J419" s="119"/>
      <c r="K419" s="119"/>
      <c r="L419" s="40">
        <v>3.37</v>
      </c>
      <c r="M419" s="40">
        <v>4.1100000000000003</v>
      </c>
      <c r="N419" s="119"/>
      <c r="O419" s="119"/>
      <c r="P419" s="119"/>
      <c r="Q419" s="119"/>
      <c r="R419" s="119"/>
      <c r="S419" s="285">
        <v>6.31</v>
      </c>
      <c r="T419" s="38">
        <f>ROUND((L419*I414+1.3*L419*K414+S419*H414),4)</f>
        <v>13474.083000000001</v>
      </c>
      <c r="U419" s="38">
        <f>ROUND((M419*0.9*I414+1.3*M419*0.9*K414+S419*H414),4)</f>
        <v>14752.544099999999</v>
      </c>
      <c r="V419" s="38">
        <f>ROUND((M419*I414+1.3*M419*K414+S419*H414),4)</f>
        <v>16349.648999999999</v>
      </c>
      <c r="W419" s="38">
        <f>ROUND((L419*J414+1.3*L419*N414+S419*G414),4)</f>
        <v>128.85</v>
      </c>
      <c r="X419" s="38">
        <f>ROUND((M419*0.9*J414+1.3*M419*0.9*N414+S419*G414),4)</f>
        <v>137.733</v>
      </c>
      <c r="Y419" s="38">
        <f>ROUND((M419*J414+1.3*M419*N414+S419*G414),4)</f>
        <v>148.83000000000001</v>
      </c>
      <c r="Z419" s="276">
        <f>ROUND((P414*T419*F414*O414/1000000),4)</f>
        <v>2.4253</v>
      </c>
      <c r="AA419" s="276">
        <f>ROUND((Q414*U419*F414*O414/1000000),4)</f>
        <v>1.3277000000000001</v>
      </c>
      <c r="AB419" s="276">
        <f>ROUND((R414*V419*F414*O414/1000000),4)</f>
        <v>1.4715</v>
      </c>
      <c r="AC419" s="277" t="s">
        <v>157</v>
      </c>
      <c r="AD419" s="278" t="s">
        <v>153</v>
      </c>
      <c r="AE419" s="40">
        <f>ROUND((((X419*E414)/1800)),4)</f>
        <v>7.6499999999999999E-2</v>
      </c>
      <c r="AF419" s="40">
        <f>ROUND(((Z419+AA419+AB419)),4)</f>
        <v>5.2244999999999999</v>
      </c>
      <c r="AG419" s="254"/>
      <c r="AH419" s="254"/>
    </row>
    <row r="420" spans="1:34" s="61" customFormat="1" ht="15" customHeight="1" x14ac:dyDescent="0.25">
      <c r="A420" s="260"/>
      <c r="B420" s="287" t="s">
        <v>558</v>
      </c>
      <c r="C420" s="38">
        <v>6</v>
      </c>
      <c r="D420" s="38" t="s">
        <v>556</v>
      </c>
      <c r="E420" s="38">
        <v>2</v>
      </c>
      <c r="F420" s="38">
        <v>15</v>
      </c>
      <c r="G420" s="38">
        <v>6</v>
      </c>
      <c r="H420" s="38">
        <v>60</v>
      </c>
      <c r="I420" s="38">
        <f>(8-1-0.75*2)*60*F420-K420-8*0.12*60</f>
        <v>1674.9</v>
      </c>
      <c r="J420" s="38">
        <v>14</v>
      </c>
      <c r="K420" s="38">
        <f>(8-1-0.75*2)*0.65*60*F420</f>
        <v>3217.5</v>
      </c>
      <c r="L420" s="38">
        <v>6.47</v>
      </c>
      <c r="M420" s="38">
        <v>6.47</v>
      </c>
      <c r="N420" s="38">
        <v>10</v>
      </c>
      <c r="O420" s="38">
        <f>E420/F420</f>
        <v>0.13333333333333333</v>
      </c>
      <c r="P420" s="38">
        <v>180</v>
      </c>
      <c r="Q420" s="38">
        <v>90</v>
      </c>
      <c r="R420" s="275">
        <v>90</v>
      </c>
      <c r="S420" s="275">
        <v>1.27</v>
      </c>
      <c r="T420" s="38">
        <f>ROUND((L420*I420+1.3*L420*K420+S420*H420),4)</f>
        <v>37975.195500000002</v>
      </c>
      <c r="U420" s="38">
        <f>ROUND((M420*I420+1.3*M420*K420+S420*H420),4)</f>
        <v>37975.195500000002</v>
      </c>
      <c r="V420" s="38">
        <f>ROUND((M420*I420+1.3*M420*K420+S420*H420),4)</f>
        <v>37975.195500000002</v>
      </c>
      <c r="W420" s="38">
        <f>ROUND((L420*J420+1.3*L420*N420+S420*G420),4)</f>
        <v>182.31</v>
      </c>
      <c r="X420" s="38">
        <f>ROUND((M420*J420+1.3*M420*N420+S420*G420),4)</f>
        <v>182.31</v>
      </c>
      <c r="Y420" s="38">
        <f>ROUND((M420*J420+1.3*M420*N420+S420*G420),4)</f>
        <v>182.31</v>
      </c>
      <c r="Z420" s="276">
        <f>ROUND((P420*T420*F420*O420/1000000),4)</f>
        <v>13.671099999999999</v>
      </c>
      <c r="AA420" s="276">
        <f>ROUND((Q420*U420*F420*O420/1000000),4)</f>
        <v>6.8354999999999997</v>
      </c>
      <c r="AB420" s="276">
        <f>ROUND((R420*V420*F420*O420/1000000),4)</f>
        <v>6.8354999999999997</v>
      </c>
      <c r="AC420" s="277" t="s">
        <v>165</v>
      </c>
      <c r="AD420" s="278" t="s">
        <v>144</v>
      </c>
      <c r="AE420" s="40">
        <f>ROUND((((X420*E420)/1800)*0.8),4)</f>
        <v>0.16209999999999999</v>
      </c>
      <c r="AF420" s="40">
        <f>ROUND(((Z420+AA420+AB420)*0.8),4)</f>
        <v>21.873699999999999</v>
      </c>
      <c r="AG420" s="254"/>
      <c r="AH420" s="254"/>
    </row>
    <row r="421" spans="1:34" s="61" customFormat="1" ht="15" customHeight="1" x14ac:dyDescent="0.25">
      <c r="A421" s="260"/>
      <c r="B421" s="280" t="s">
        <v>559</v>
      </c>
      <c r="C421" s="39"/>
      <c r="D421" s="39"/>
      <c r="E421" s="39"/>
      <c r="F421" s="39"/>
      <c r="G421" s="39"/>
      <c r="H421" s="39"/>
      <c r="I421" s="39"/>
      <c r="J421" s="39"/>
      <c r="K421" s="39"/>
      <c r="L421" s="119"/>
      <c r="M421" s="119"/>
      <c r="N421" s="39"/>
      <c r="O421" s="39"/>
      <c r="P421" s="39"/>
      <c r="Q421" s="39"/>
      <c r="R421" s="39"/>
      <c r="S421" s="281"/>
      <c r="T421" s="39"/>
      <c r="U421" s="39"/>
      <c r="V421" s="39"/>
      <c r="W421" s="39"/>
      <c r="X421" s="39"/>
      <c r="Y421" s="39"/>
      <c r="Z421" s="39"/>
      <c r="AA421" s="39"/>
      <c r="AB421" s="39"/>
      <c r="AC421" s="277" t="s">
        <v>166</v>
      </c>
      <c r="AD421" s="278" t="s">
        <v>167</v>
      </c>
      <c r="AE421" s="40">
        <f>ROUND((((X420*E420)/1800)*0.13),4)</f>
        <v>2.63E-2</v>
      </c>
      <c r="AF421" s="40">
        <f>ROUND(((Z420+AA420+AB420)*0.13),4)</f>
        <v>3.5545</v>
      </c>
      <c r="AG421" s="254"/>
      <c r="AH421" s="254"/>
    </row>
    <row r="422" spans="1:34" s="61" customFormat="1" ht="15" customHeight="1" x14ac:dyDescent="0.25">
      <c r="A422" s="260"/>
      <c r="B422" s="288"/>
      <c r="C422" s="283"/>
      <c r="D422" s="283"/>
      <c r="E422" s="39"/>
      <c r="F422" s="39"/>
      <c r="G422" s="39"/>
      <c r="H422" s="39"/>
      <c r="I422" s="39"/>
      <c r="J422" s="39"/>
      <c r="K422" s="39"/>
      <c r="L422" s="40">
        <v>0.51</v>
      </c>
      <c r="M422" s="40">
        <v>0.63</v>
      </c>
      <c r="N422" s="39"/>
      <c r="O422" s="39"/>
      <c r="P422" s="39"/>
      <c r="Q422" s="39"/>
      <c r="R422" s="39"/>
      <c r="S422" s="284">
        <v>0.25</v>
      </c>
      <c r="T422" s="38">
        <f>ROUND((L422*I420+1.3*L422*K420+S422*H420),4)</f>
        <v>3002.4014999999999</v>
      </c>
      <c r="U422" s="38">
        <f>ROUND((M422*0.9*I420+1.3*M422*0.9*K420+S422*H420),4)</f>
        <v>3336.2876000000001</v>
      </c>
      <c r="V422" s="38">
        <f>ROUND((M422*I420+1.3*M422*K420+S422*H420),4)</f>
        <v>3705.3195000000001</v>
      </c>
      <c r="W422" s="38">
        <f>ROUND((L422*J420+1.3*L422*N420+S422*G420),4)</f>
        <v>15.27</v>
      </c>
      <c r="X422" s="38">
        <f>ROUND((M422*0.9*J420+1.3*M422*0.9*N420+S422*G420),4)</f>
        <v>16.809000000000001</v>
      </c>
      <c r="Y422" s="38">
        <f>ROUND((M422*J420+1.3*M422*N420+S422*G420),4)</f>
        <v>18.510000000000002</v>
      </c>
      <c r="Z422" s="276">
        <f>ROUND((P420*T422*F420*O420/1000000),4)</f>
        <v>1.0809</v>
      </c>
      <c r="AA422" s="276">
        <f>ROUND((Q420*U422*F420*O420/1000000),4)</f>
        <v>0.60050000000000003</v>
      </c>
      <c r="AB422" s="276">
        <f>ROUND((R420*V422*F420*O420/1000000),4)</f>
        <v>0.66700000000000004</v>
      </c>
      <c r="AC422" s="277" t="s">
        <v>547</v>
      </c>
      <c r="AD422" s="278" t="s">
        <v>169</v>
      </c>
      <c r="AE422" s="40">
        <f>ROUND((((X422*E420)/1800)),4)</f>
        <v>1.8700000000000001E-2</v>
      </c>
      <c r="AF422" s="40">
        <f>ROUND(((Z422+AA422+AB422)),5)</f>
        <v>2.3483999999999998</v>
      </c>
      <c r="AG422" s="254"/>
      <c r="AH422" s="254"/>
    </row>
    <row r="423" spans="1:34" s="61" customFormat="1" ht="15" customHeight="1" x14ac:dyDescent="0.25">
      <c r="A423" s="260"/>
      <c r="B423" s="288"/>
      <c r="C423" s="39"/>
      <c r="D423" s="39"/>
      <c r="E423" s="39"/>
      <c r="F423" s="39"/>
      <c r="G423" s="39"/>
      <c r="H423" s="39"/>
      <c r="I423" s="39"/>
      <c r="J423" s="39"/>
      <c r="K423" s="39"/>
      <c r="L423" s="40">
        <v>1.1399999999999999</v>
      </c>
      <c r="M423" s="40">
        <v>1.37</v>
      </c>
      <c r="N423" s="39"/>
      <c r="O423" s="39"/>
      <c r="P423" s="39"/>
      <c r="Q423" s="39"/>
      <c r="R423" s="39"/>
      <c r="S423" s="285">
        <v>0.79</v>
      </c>
      <c r="T423" s="38">
        <f>ROUND((L423*I420+1.3*L423*K420+S423*H420),4)</f>
        <v>6725.1210000000001</v>
      </c>
      <c r="U423" s="38">
        <f>ROUND((M423*0.9*I420+1.3*M423*0.9*K420+S423*H420),4)</f>
        <v>7269.8824999999997</v>
      </c>
      <c r="V423" s="38">
        <f>ROUND((M423*I420+1.3*M423*K420+S423*H420),4)</f>
        <v>8072.3805000000002</v>
      </c>
      <c r="W423" s="38">
        <f>ROUND((L423*J420+1.3*L423*N420+S423*G420),4)</f>
        <v>35.520000000000003</v>
      </c>
      <c r="X423" s="38">
        <f>ROUND((M423*0.9*J420+1.3*M423*0.9*N420+S423*G420),4)</f>
        <v>38.030999999999999</v>
      </c>
      <c r="Y423" s="38">
        <f>ROUND((M423*J420+1.3*N420+S423*G420),4)</f>
        <v>36.92</v>
      </c>
      <c r="Z423" s="276">
        <f>ROUND((P420*T423*F420*O420/1000000),4)</f>
        <v>2.4209999999999998</v>
      </c>
      <c r="AA423" s="276">
        <f>ROUND((Q420*U423*F420*O420/1000000),4)</f>
        <v>1.3086</v>
      </c>
      <c r="AB423" s="276">
        <f>ROUND((R420*V423*F420*O420/1000000),4)</f>
        <v>1.4530000000000001</v>
      </c>
      <c r="AC423" s="277" t="s">
        <v>548</v>
      </c>
      <c r="AD423" s="278" t="s">
        <v>549</v>
      </c>
      <c r="AE423" s="40">
        <f>ROUND((((X423*E420)/1800)),4)</f>
        <v>4.2299999999999997E-2</v>
      </c>
      <c r="AF423" s="40">
        <f>ROUND(((Z423+AA423+AB423)),4)</f>
        <v>5.1825999999999999</v>
      </c>
      <c r="AG423" s="254"/>
      <c r="AH423" s="254"/>
    </row>
    <row r="424" spans="1:34" s="61" customFormat="1" ht="15" customHeight="1" x14ac:dyDescent="0.25">
      <c r="A424" s="260"/>
      <c r="B424" s="280"/>
      <c r="C424" s="39"/>
      <c r="D424" s="39"/>
      <c r="E424" s="39"/>
      <c r="F424" s="39"/>
      <c r="G424" s="39"/>
      <c r="H424" s="39"/>
      <c r="I424" s="39"/>
      <c r="J424" s="39"/>
      <c r="K424" s="39"/>
      <c r="L424" s="40">
        <v>0.72</v>
      </c>
      <c r="M424" s="40">
        <v>1.08</v>
      </c>
      <c r="N424" s="39"/>
      <c r="O424" s="39"/>
      <c r="P424" s="39"/>
      <c r="Q424" s="39"/>
      <c r="R424" s="39"/>
      <c r="S424" s="285">
        <v>0.17</v>
      </c>
      <c r="T424" s="38">
        <f>ROUND((L424*I420+1.3*L424*K420+S424*H420),4)</f>
        <v>4227.7079999999996</v>
      </c>
      <c r="U424" s="38">
        <f>ROUND((M424*0.9*I420+1.3*M424*0.9*K420+S424*H420),4)</f>
        <v>5703.8357999999998</v>
      </c>
      <c r="V424" s="38">
        <f>ROUND((M424*I420+1.3*M424*K420+S424*H420),4)</f>
        <v>6336.4620000000004</v>
      </c>
      <c r="W424" s="38">
        <f>ROUND((L424*J420+1.3*L424*N420+S424*G420),4)</f>
        <v>20.46</v>
      </c>
      <c r="X424" s="38">
        <f>ROUND((M424*0.9*J420+1.3*M424*0.9*N420+S424*G420),4)</f>
        <v>27.263999999999999</v>
      </c>
      <c r="Y424" s="38">
        <f>ROUND((M424*J420+1.3*M424*N420+S424*G420),4)</f>
        <v>30.18</v>
      </c>
      <c r="Z424" s="276">
        <f>ROUND((P420*T424*F420*O420/1000000),4)</f>
        <v>1.522</v>
      </c>
      <c r="AA424" s="276">
        <f>ROUND((Q420*U424*F420*O420/1000000),4)</f>
        <v>1.0266999999999999</v>
      </c>
      <c r="AB424" s="276">
        <f>ROUND((R420*V424*F420*O420/1000000),4)</f>
        <v>1.1406000000000001</v>
      </c>
      <c r="AC424" s="277" t="s">
        <v>172</v>
      </c>
      <c r="AD424" s="278" t="s">
        <v>173</v>
      </c>
      <c r="AE424" s="40">
        <f>ROUND((((X424*E420)/1800)),4)</f>
        <v>3.0300000000000001E-2</v>
      </c>
      <c r="AF424" s="40">
        <f>ROUND(((Z424+AA424+AB424)),4)</f>
        <v>3.6892999999999998</v>
      </c>
      <c r="AG424" s="254"/>
      <c r="AH424" s="254"/>
    </row>
    <row r="425" spans="1:34" s="61" customFormat="1" ht="15" customHeight="1" x14ac:dyDescent="0.25">
      <c r="A425" s="260"/>
      <c r="B425" s="286"/>
      <c r="C425" s="119"/>
      <c r="D425" s="119"/>
      <c r="E425" s="119"/>
      <c r="F425" s="119"/>
      <c r="G425" s="119"/>
      <c r="H425" s="119"/>
      <c r="I425" s="119"/>
      <c r="J425" s="119"/>
      <c r="K425" s="119"/>
      <c r="L425" s="40">
        <v>3.37</v>
      </c>
      <c r="M425" s="40">
        <v>4.1100000000000003</v>
      </c>
      <c r="N425" s="119"/>
      <c r="O425" s="119"/>
      <c r="P425" s="119"/>
      <c r="Q425" s="119"/>
      <c r="R425" s="119"/>
      <c r="S425" s="285">
        <v>6.31</v>
      </c>
      <c r="T425" s="38">
        <f>ROUND((L425*I420+1.3*L425*K420+S425*H420),4)</f>
        <v>20118.880499999999</v>
      </c>
      <c r="U425" s="38">
        <f>ROUND((M425*0.9*I420+1.3*M425*0.9*K420+S425*H420),4)</f>
        <v>22046.047399999999</v>
      </c>
      <c r="V425" s="38">
        <f>ROUND((M425*I420+1.3*M425*K420+S425*H420),4)</f>
        <v>24453.541499999999</v>
      </c>
      <c r="W425" s="38">
        <f>ROUND((L425*J420+1.3*L425*N420+S425*G420),4)</f>
        <v>128.85</v>
      </c>
      <c r="X425" s="38">
        <f>ROUND((M425*0.9*J420+1.3*M425*0.9*N420+S425*G420),4)</f>
        <v>137.733</v>
      </c>
      <c r="Y425" s="38">
        <f>ROUND((M425*J420+1.3*M425*N420+S425*G420),4)</f>
        <v>148.83000000000001</v>
      </c>
      <c r="Z425" s="276">
        <f>ROUND((P420*T425*F420*O420/1000000),4)</f>
        <v>7.2427999999999999</v>
      </c>
      <c r="AA425" s="276">
        <f>ROUND((Q420*U425*F420*O420/1000000),4)</f>
        <v>3.9683000000000002</v>
      </c>
      <c r="AB425" s="276">
        <f>ROUND((R420*V425*F420*O420/1000000),4)</f>
        <v>4.4016000000000002</v>
      </c>
      <c r="AC425" s="277" t="s">
        <v>157</v>
      </c>
      <c r="AD425" s="278" t="s">
        <v>153</v>
      </c>
      <c r="AE425" s="40">
        <f>ROUND((((X425*E420)/1800)),4)</f>
        <v>0.153</v>
      </c>
      <c r="AF425" s="40">
        <f>ROUND(((Z425+AA425+AB425)),4)</f>
        <v>15.6127</v>
      </c>
      <c r="AG425" s="254"/>
      <c r="AH425" s="254"/>
    </row>
    <row r="426" spans="1:34" s="61" customFormat="1" ht="15" customHeight="1" x14ac:dyDescent="0.25">
      <c r="A426" s="260"/>
      <c r="B426" s="287" t="s">
        <v>558</v>
      </c>
      <c r="C426" s="38">
        <v>7</v>
      </c>
      <c r="D426" s="38" t="s">
        <v>560</v>
      </c>
      <c r="E426" s="38">
        <v>1</v>
      </c>
      <c r="F426" s="38">
        <v>10</v>
      </c>
      <c r="G426" s="38">
        <v>6</v>
      </c>
      <c r="H426" s="38">
        <v>60</v>
      </c>
      <c r="I426" s="38">
        <f>(8-1-0.75*2)*60*F426-K426-8*0.12*60</f>
        <v>1097.4000000000001</v>
      </c>
      <c r="J426" s="38">
        <v>14</v>
      </c>
      <c r="K426" s="38">
        <f>(8-1-0.75*2)*0.65*60*F426</f>
        <v>2145</v>
      </c>
      <c r="L426" s="38">
        <v>10.16</v>
      </c>
      <c r="M426" s="38">
        <v>10.16</v>
      </c>
      <c r="N426" s="38">
        <v>10</v>
      </c>
      <c r="O426" s="38">
        <f>E426/F426</f>
        <v>0.1</v>
      </c>
      <c r="P426" s="38">
        <v>180</v>
      </c>
      <c r="Q426" s="38">
        <v>90</v>
      </c>
      <c r="R426" s="275">
        <v>90</v>
      </c>
      <c r="S426" s="275">
        <v>1.99</v>
      </c>
      <c r="T426" s="38">
        <f>ROUND((L426*I426+1.3*L426*K426+S426*H426),4)</f>
        <v>39600.144</v>
      </c>
      <c r="U426" s="38">
        <f>ROUND((M426*I426+1.3*M426*K426+S426*H426),4)</f>
        <v>39600.144</v>
      </c>
      <c r="V426" s="38">
        <f>ROUND((M426*I426+1.3*M426*K426+S426*H426),4)</f>
        <v>39600.144</v>
      </c>
      <c r="W426" s="38">
        <f>ROUND((L426*J426+1.3*L426*N426+S426*G426),4)</f>
        <v>286.26</v>
      </c>
      <c r="X426" s="38">
        <f>ROUND((M426*J426+1.3*M426*N426+S426*G426),4)</f>
        <v>286.26</v>
      </c>
      <c r="Y426" s="38">
        <f>ROUND((M426*J426+1.3*M426*N426+S426*G426),4)</f>
        <v>286.26</v>
      </c>
      <c r="Z426" s="276">
        <f>ROUND((P426*T426*F426*O426/1000000),4)</f>
        <v>7.1280000000000001</v>
      </c>
      <c r="AA426" s="276">
        <f>ROUND((Q426*U426*F426*O426/1000000),4)</f>
        <v>3.5640000000000001</v>
      </c>
      <c r="AB426" s="276">
        <f>ROUND((R426*V426*F426*O426/1000000),4)</f>
        <v>3.5640000000000001</v>
      </c>
      <c r="AC426" s="277" t="s">
        <v>165</v>
      </c>
      <c r="AD426" s="278" t="s">
        <v>144</v>
      </c>
      <c r="AE426" s="40">
        <f>ROUND((((X426*E426)/1800)*0.8),4)</f>
        <v>0.12720000000000001</v>
      </c>
      <c r="AF426" s="40">
        <f>ROUND(((Z426+AA426+AB426)*0.8),4)</f>
        <v>11.4048</v>
      </c>
      <c r="AG426" s="254"/>
      <c r="AH426" s="254"/>
    </row>
    <row r="427" spans="1:34" s="61" customFormat="1" ht="15" customHeight="1" x14ac:dyDescent="0.25">
      <c r="A427" s="260"/>
      <c r="B427" s="280" t="s">
        <v>561</v>
      </c>
      <c r="C427" s="39"/>
      <c r="D427" s="39"/>
      <c r="E427" s="39"/>
      <c r="F427" s="39"/>
      <c r="G427" s="39"/>
      <c r="H427" s="39"/>
      <c r="I427" s="39"/>
      <c r="J427" s="39"/>
      <c r="K427" s="39"/>
      <c r="L427" s="119"/>
      <c r="M427" s="119"/>
      <c r="N427" s="39"/>
      <c r="O427" s="39"/>
      <c r="P427" s="39"/>
      <c r="Q427" s="39"/>
      <c r="R427" s="39"/>
      <c r="S427" s="281"/>
      <c r="T427" s="39"/>
      <c r="U427" s="39"/>
      <c r="V427" s="39"/>
      <c r="W427" s="39"/>
      <c r="X427" s="39"/>
      <c r="Y427" s="39"/>
      <c r="Z427" s="39"/>
      <c r="AA427" s="39"/>
      <c r="AB427" s="39"/>
      <c r="AC427" s="277" t="s">
        <v>166</v>
      </c>
      <c r="AD427" s="278" t="s">
        <v>167</v>
      </c>
      <c r="AE427" s="40">
        <f>ROUND((((X426*E426)/1800)*0.13),4)</f>
        <v>2.07E-2</v>
      </c>
      <c r="AF427" s="40">
        <f>ROUND(((Z426+AA426+AB426)*0.13),4)</f>
        <v>1.8532999999999999</v>
      </c>
      <c r="AG427" s="254"/>
      <c r="AH427" s="254"/>
    </row>
    <row r="428" spans="1:34" s="61" customFormat="1" ht="15" customHeight="1" x14ac:dyDescent="0.25">
      <c r="A428" s="260"/>
      <c r="B428" s="288"/>
      <c r="C428" s="283"/>
      <c r="D428" s="283"/>
      <c r="E428" s="39"/>
      <c r="F428" s="39"/>
      <c r="G428" s="39"/>
      <c r="H428" s="39"/>
      <c r="I428" s="39"/>
      <c r="J428" s="39"/>
      <c r="K428" s="39"/>
      <c r="L428" s="40">
        <v>0.8</v>
      </c>
      <c r="M428" s="40">
        <v>0.98</v>
      </c>
      <c r="N428" s="39"/>
      <c r="O428" s="39"/>
      <c r="P428" s="39"/>
      <c r="Q428" s="39"/>
      <c r="R428" s="39"/>
      <c r="S428" s="284">
        <v>0.39</v>
      </c>
      <c r="T428" s="38">
        <f>ROUND((L428*I426+1.3*L428*K426+S428*H426),4)</f>
        <v>3132.12</v>
      </c>
      <c r="U428" s="38">
        <f>ROUND((M428*0.9*I426+1.3*M428*0.9*K426+S428*H426),4)</f>
        <v>3450.7638000000002</v>
      </c>
      <c r="V428" s="38">
        <f>ROUND((M428*I426+1.3*M428*K426+S428*H426),4)</f>
        <v>3831.5819999999999</v>
      </c>
      <c r="W428" s="38">
        <f>ROUND((L428*J426+1.3*L428*N426+S428*G426),4)</f>
        <v>23.94</v>
      </c>
      <c r="X428" s="38">
        <f>ROUND((M428*0.9*J426+1.3*M428*0.9*N426+S428*G426),4)</f>
        <v>26.154</v>
      </c>
      <c r="Y428" s="38">
        <f>ROUND((M428*J426+1.3*M428*N426+S428*G426),4)</f>
        <v>28.8</v>
      </c>
      <c r="Z428" s="276">
        <f>ROUND((P426*T428*F426*O426/1000000),4)</f>
        <v>0.56379999999999997</v>
      </c>
      <c r="AA428" s="276">
        <f>ROUND((Q426*U428*F426*O426/1000000),4)</f>
        <v>0.31059999999999999</v>
      </c>
      <c r="AB428" s="276">
        <f>ROUND((R426*V428*F426*O426/1000000),4)</f>
        <v>0.3448</v>
      </c>
      <c r="AC428" s="277" t="s">
        <v>547</v>
      </c>
      <c r="AD428" s="278" t="s">
        <v>169</v>
      </c>
      <c r="AE428" s="40">
        <f>ROUND((((X428*E426)/1800)),4)</f>
        <v>1.4500000000000001E-2</v>
      </c>
      <c r="AF428" s="40">
        <f>ROUND(((Z428+AA428+AB428)),5)</f>
        <v>1.2192000000000001</v>
      </c>
      <c r="AG428" s="254"/>
      <c r="AH428" s="254"/>
    </row>
    <row r="429" spans="1:34" s="61" customFormat="1" ht="15" customHeight="1" x14ac:dyDescent="0.25">
      <c r="A429" s="260"/>
      <c r="B429" s="288"/>
      <c r="C429" s="39"/>
      <c r="D429" s="39"/>
      <c r="E429" s="39"/>
      <c r="F429" s="39"/>
      <c r="G429" s="39"/>
      <c r="H429" s="39"/>
      <c r="I429" s="39"/>
      <c r="J429" s="39"/>
      <c r="K429" s="39"/>
      <c r="L429" s="40">
        <v>1.79</v>
      </c>
      <c r="M429" s="40">
        <v>2.15</v>
      </c>
      <c r="N429" s="39"/>
      <c r="O429" s="39"/>
      <c r="P429" s="39"/>
      <c r="Q429" s="39"/>
      <c r="R429" s="39"/>
      <c r="S429" s="285">
        <v>1.24</v>
      </c>
      <c r="T429" s="38">
        <f>ROUND((L429*I426+1.3*L429*K426+S429*H426),4)</f>
        <v>7030.1610000000001</v>
      </c>
      <c r="U429" s="38">
        <f>ROUND((M429*0.9*I426+1.3*M429*0.9*K426+S429*H426),4)</f>
        <v>7593.6165000000001</v>
      </c>
      <c r="V429" s="38">
        <f>ROUND((M429*I426+1.3*M429*K426+S429*H426),4)</f>
        <v>8429.0849999999991</v>
      </c>
      <c r="W429" s="38">
        <f>ROUND((L429*J426+1.3*L429*N426+S429*G426),4)</f>
        <v>55.77</v>
      </c>
      <c r="X429" s="38">
        <f>ROUND((M429*0.9*J426+1.3*M429*0.9*N426+S429*G426),4)</f>
        <v>59.685000000000002</v>
      </c>
      <c r="Y429" s="38">
        <f>ROUND((M429*J426+1.3*N426+S429*G426),4)</f>
        <v>50.54</v>
      </c>
      <c r="Z429" s="276">
        <f>ROUND((P426*T429*F426*O426/1000000),4)</f>
        <v>1.2654000000000001</v>
      </c>
      <c r="AA429" s="276">
        <f>ROUND((Q426*U429*F426*O426/1000000),4)</f>
        <v>0.68340000000000001</v>
      </c>
      <c r="AB429" s="276">
        <f>ROUND((R426*V429*F426*O426/1000000),4)</f>
        <v>0.75860000000000005</v>
      </c>
      <c r="AC429" s="277" t="s">
        <v>548</v>
      </c>
      <c r="AD429" s="278" t="s">
        <v>549</v>
      </c>
      <c r="AE429" s="40">
        <f>ROUND((((X429*E426)/1800)),4)</f>
        <v>3.32E-2</v>
      </c>
      <c r="AF429" s="40">
        <f>ROUND(((Z429+AA429+AB429)),4)</f>
        <v>2.7073999999999998</v>
      </c>
      <c r="AG429" s="254"/>
      <c r="AH429" s="254"/>
    </row>
    <row r="430" spans="1:34" s="61" customFormat="1" ht="15" customHeight="1" x14ac:dyDescent="0.25">
      <c r="A430" s="260"/>
      <c r="B430" s="280"/>
      <c r="C430" s="39"/>
      <c r="D430" s="39"/>
      <c r="E430" s="39"/>
      <c r="F430" s="39"/>
      <c r="G430" s="39"/>
      <c r="H430" s="39"/>
      <c r="I430" s="39"/>
      <c r="J430" s="39"/>
      <c r="K430" s="39"/>
      <c r="L430" s="40">
        <v>1.1299999999999999</v>
      </c>
      <c r="M430" s="40">
        <v>1.7</v>
      </c>
      <c r="N430" s="39"/>
      <c r="O430" s="39"/>
      <c r="P430" s="39"/>
      <c r="Q430" s="39"/>
      <c r="R430" s="39"/>
      <c r="S430" s="285">
        <v>0.26</v>
      </c>
      <c r="T430" s="38">
        <f>ROUND((L430*I426+1.3*L430*K426+S430*H426),4)</f>
        <v>4406.6670000000004</v>
      </c>
      <c r="U430" s="38">
        <f>ROUND((M430*0.9*I426+1.3*M430*0.9*K426+S430*H426),4)</f>
        <v>5961.027</v>
      </c>
      <c r="V430" s="38">
        <f>ROUND((M430*I426+1.3*M430*K426+S430*H426),4)</f>
        <v>6621.63</v>
      </c>
      <c r="W430" s="38">
        <f>ROUND((L430*J426+1.3*L430*N426+S430*G426),4)</f>
        <v>32.07</v>
      </c>
      <c r="X430" s="38">
        <f>ROUND((M430*0.9*J426+1.3*M430*0.9*N426+S430*G426),4)</f>
        <v>42.87</v>
      </c>
      <c r="Y430" s="38">
        <f>ROUND((M430*J426+1.3*M430*N426+S430*G426),4)</f>
        <v>47.46</v>
      </c>
      <c r="Z430" s="276">
        <f>ROUND((P426*T430*F426*O426/1000000),4)</f>
        <v>0.79320000000000002</v>
      </c>
      <c r="AA430" s="276">
        <f>ROUND((Q426*U430*F426*O426/1000000),4)</f>
        <v>0.53649999999999998</v>
      </c>
      <c r="AB430" s="276">
        <f>ROUND((R426*V430*F426*O426/1000000),4)</f>
        <v>0.59589999999999999</v>
      </c>
      <c r="AC430" s="277" t="s">
        <v>172</v>
      </c>
      <c r="AD430" s="278" t="s">
        <v>173</v>
      </c>
      <c r="AE430" s="40">
        <f>ROUND((((X430*E426)/1800)),4)</f>
        <v>2.3800000000000002E-2</v>
      </c>
      <c r="AF430" s="40">
        <f>ROUND(((Z430+AA430+AB430)),4)</f>
        <v>1.9256</v>
      </c>
      <c r="AG430" s="254"/>
      <c r="AH430" s="254"/>
    </row>
    <row r="431" spans="1:34" s="61" customFormat="1" ht="15" customHeight="1" x14ac:dyDescent="0.25">
      <c r="A431" s="260"/>
      <c r="B431" s="286"/>
      <c r="C431" s="119"/>
      <c r="D431" s="119"/>
      <c r="E431" s="119"/>
      <c r="F431" s="119"/>
      <c r="G431" s="119"/>
      <c r="H431" s="119"/>
      <c r="I431" s="119"/>
      <c r="J431" s="119"/>
      <c r="K431" s="119"/>
      <c r="L431" s="40">
        <v>5.3</v>
      </c>
      <c r="M431" s="40">
        <v>6.47</v>
      </c>
      <c r="N431" s="119"/>
      <c r="O431" s="119"/>
      <c r="P431" s="119"/>
      <c r="Q431" s="119"/>
      <c r="R431" s="119"/>
      <c r="S431" s="285">
        <v>9.92</v>
      </c>
      <c r="T431" s="38">
        <f>ROUND((L431*I426+1.3*L431*K426+S431*H426),4)</f>
        <v>21190.47</v>
      </c>
      <c r="U431" s="38">
        <f>ROUND((M431*0.9*I426+1.3*M431*0.9*K426+S431*H426),4)</f>
        <v>23222.795699999999</v>
      </c>
      <c r="V431" s="38">
        <f>ROUND((M431*I426+1.3*M431*K426+S431*H426),4)</f>
        <v>25736.973000000002</v>
      </c>
      <c r="W431" s="38">
        <f>ROUND((L431*J426+1.3*L431*N426+S431*G426),4)</f>
        <v>202.62</v>
      </c>
      <c r="X431" s="38">
        <f>ROUND((M431*0.9*J426+1.3*M431*0.9*N426+S431*G426),4)</f>
        <v>216.74100000000001</v>
      </c>
      <c r="Y431" s="38">
        <f>ROUND((M431*J426+1.3*M431*N426+S431*G426),4)</f>
        <v>234.21</v>
      </c>
      <c r="Z431" s="276">
        <f>ROUND((P426*T431*F426*O426/1000000),4)</f>
        <v>3.8142999999999998</v>
      </c>
      <c r="AA431" s="276">
        <f>ROUND((Q426*U431*F426*O426/1000000),4)</f>
        <v>2.0901000000000001</v>
      </c>
      <c r="AB431" s="276">
        <f>ROUND((R426*V431*F426*O426/1000000),4)</f>
        <v>2.3163</v>
      </c>
      <c r="AC431" s="277" t="s">
        <v>157</v>
      </c>
      <c r="AD431" s="278" t="s">
        <v>153</v>
      </c>
      <c r="AE431" s="40">
        <f>ROUND((((X431*E426)/1800)),4)</f>
        <v>0.12039999999999999</v>
      </c>
      <c r="AF431" s="40">
        <f>ROUND(((Z431+AA431+AB431)),4)</f>
        <v>8.2207000000000008</v>
      </c>
      <c r="AG431" s="254"/>
      <c r="AH431" s="254"/>
    </row>
    <row r="432" spans="1:34" s="61" customFormat="1" ht="15" customHeight="1" x14ac:dyDescent="0.25">
      <c r="A432" s="260"/>
      <c r="B432" s="1638" t="s">
        <v>562</v>
      </c>
      <c r="C432" s="38">
        <v>7</v>
      </c>
      <c r="D432" s="38" t="s">
        <v>560</v>
      </c>
      <c r="E432" s="38">
        <v>3</v>
      </c>
      <c r="F432" s="38">
        <v>34</v>
      </c>
      <c r="G432" s="38">
        <v>6</v>
      </c>
      <c r="H432" s="38">
        <v>60</v>
      </c>
      <c r="I432" s="38">
        <f>(8-1-0.75*2)*60*F432-K432-8*0.12*60</f>
        <v>3869.4</v>
      </c>
      <c r="J432" s="38">
        <v>14</v>
      </c>
      <c r="K432" s="38">
        <f>(8-1-0.75*2)*0.65*60*F432</f>
        <v>7293</v>
      </c>
      <c r="L432" s="38">
        <v>10.16</v>
      </c>
      <c r="M432" s="38">
        <v>10.16</v>
      </c>
      <c r="N432" s="38">
        <v>10</v>
      </c>
      <c r="O432" s="38">
        <f>E432/F432</f>
        <v>8.8235294117647065E-2</v>
      </c>
      <c r="P432" s="38">
        <v>180</v>
      </c>
      <c r="Q432" s="38">
        <v>90</v>
      </c>
      <c r="R432" s="275">
        <v>90</v>
      </c>
      <c r="S432" s="275">
        <v>1.99</v>
      </c>
      <c r="T432" s="38">
        <f>ROUND((L432*I432+1.3*L432*K432+S432*H432),4)</f>
        <v>135758.448</v>
      </c>
      <c r="U432" s="38">
        <f>ROUND((M432*I432+1.3*M432*K432+S432*H432),4)</f>
        <v>135758.448</v>
      </c>
      <c r="V432" s="38">
        <f>ROUND((M432*I432+1.3*M432*K432+S432*H432),4)</f>
        <v>135758.448</v>
      </c>
      <c r="W432" s="38">
        <f>ROUND((L432*J432+1.3*L432*N432+S432*G432),4)</f>
        <v>286.26</v>
      </c>
      <c r="X432" s="38">
        <f>ROUND((M432*J432+1.3*M432*N432+S432*G432),4)</f>
        <v>286.26</v>
      </c>
      <c r="Y432" s="38">
        <f>ROUND((M432*J432+1.3*M432*N432+S432*G432),4)</f>
        <v>286.26</v>
      </c>
      <c r="Z432" s="276">
        <f>ROUND((P432*T432*F432*O432/1000000),4)</f>
        <v>73.309600000000003</v>
      </c>
      <c r="AA432" s="276">
        <f>ROUND((Q432*U432*F432*O432/1000000),4)</f>
        <v>36.654800000000002</v>
      </c>
      <c r="AB432" s="276">
        <f>ROUND((R432*V432*F432*O432/1000000),4)</f>
        <v>36.654800000000002</v>
      </c>
      <c r="AC432" s="277" t="s">
        <v>165</v>
      </c>
      <c r="AD432" s="278" t="s">
        <v>144</v>
      </c>
      <c r="AE432" s="40">
        <f>ROUND((((X432*E432)/1800)*0.8),4)</f>
        <v>0.38169999999999998</v>
      </c>
      <c r="AF432" s="40">
        <f>ROUND(((Z432+AA432+AB432)*0.8),4)</f>
        <v>117.2954</v>
      </c>
      <c r="AG432" s="288"/>
      <c r="AH432" s="288"/>
    </row>
    <row r="433" spans="1:34" s="61" customFormat="1" ht="15" customHeight="1" x14ac:dyDescent="0.25">
      <c r="A433" s="260"/>
      <c r="B433" s="1639"/>
      <c r="C433" s="39"/>
      <c r="D433" s="39"/>
      <c r="E433" s="39"/>
      <c r="F433" s="39"/>
      <c r="G433" s="39"/>
      <c r="H433" s="39"/>
      <c r="I433" s="39"/>
      <c r="J433" s="39"/>
      <c r="K433" s="39"/>
      <c r="L433" s="119"/>
      <c r="M433" s="119"/>
      <c r="N433" s="39"/>
      <c r="O433" s="39"/>
      <c r="P433" s="39"/>
      <c r="Q433" s="39"/>
      <c r="R433" s="39"/>
      <c r="S433" s="281"/>
      <c r="T433" s="39"/>
      <c r="U433" s="39"/>
      <c r="V433" s="39"/>
      <c r="W433" s="39"/>
      <c r="X433" s="39"/>
      <c r="Y433" s="39"/>
      <c r="Z433" s="39"/>
      <c r="AA433" s="39"/>
      <c r="AB433" s="39"/>
      <c r="AC433" s="277" t="s">
        <v>166</v>
      </c>
      <c r="AD433" s="278" t="s">
        <v>167</v>
      </c>
      <c r="AE433" s="40">
        <f>ROUND((((X432*E432)/1800)*0.13),4)</f>
        <v>6.2E-2</v>
      </c>
      <c r="AF433" s="40">
        <f>ROUND(((Z432+AA432+AB432)*0.13),4)</f>
        <v>19.060500000000001</v>
      </c>
      <c r="AG433" s="288"/>
      <c r="AH433" s="288"/>
    </row>
    <row r="434" spans="1:34" s="61" customFormat="1" ht="15" customHeight="1" x14ac:dyDescent="0.25">
      <c r="A434" s="260"/>
      <c r="B434" s="280" t="s">
        <v>563</v>
      </c>
      <c r="C434" s="283"/>
      <c r="D434" s="283"/>
      <c r="E434" s="39"/>
      <c r="F434" s="39"/>
      <c r="G434" s="39"/>
      <c r="H434" s="39"/>
      <c r="I434" s="39"/>
      <c r="J434" s="39"/>
      <c r="K434" s="39"/>
      <c r="L434" s="40">
        <v>0.8</v>
      </c>
      <c r="M434" s="40">
        <v>0.98</v>
      </c>
      <c r="N434" s="39"/>
      <c r="O434" s="39"/>
      <c r="P434" s="39"/>
      <c r="Q434" s="39"/>
      <c r="R434" s="39"/>
      <c r="S434" s="284">
        <v>0.39</v>
      </c>
      <c r="T434" s="38">
        <f>ROUND((L434*I432+1.3*L434*K432+S434*H432),4)</f>
        <v>10703.64</v>
      </c>
      <c r="U434" s="38">
        <f>ROUND((M434*0.9*I432+1.3*M434*0.9*K432+S434*H432),4)</f>
        <v>11798.364600000001</v>
      </c>
      <c r="V434" s="38">
        <f>ROUND((M434*I432+1.3*M434*K432+S434*H432),4)</f>
        <v>13106.694</v>
      </c>
      <c r="W434" s="38">
        <f>ROUND((L434*J432+1.3*L434*N432+S434*G432),4)</f>
        <v>23.94</v>
      </c>
      <c r="X434" s="38">
        <f>ROUND((M434*0.9*J432+1.3*M434*0.9*N432+S434*G432),4)</f>
        <v>26.154</v>
      </c>
      <c r="Y434" s="38">
        <f>ROUND((M434*J432+1.3*M434*N432+S434*G432),4)</f>
        <v>28.8</v>
      </c>
      <c r="Z434" s="276">
        <f>ROUND((P432*T434*F432*O432/1000000),4)</f>
        <v>5.78</v>
      </c>
      <c r="AA434" s="276">
        <f>ROUND((Q432*U434*F432*O432/1000000),4)</f>
        <v>3.1856</v>
      </c>
      <c r="AB434" s="276">
        <f>ROUND((R432*V434*F432*O432/1000000),4)</f>
        <v>3.5388000000000002</v>
      </c>
      <c r="AC434" s="277" t="s">
        <v>547</v>
      </c>
      <c r="AD434" s="278" t="s">
        <v>169</v>
      </c>
      <c r="AE434" s="40">
        <f>ROUND((((X434*E432)/1800)),4)</f>
        <v>4.36E-2</v>
      </c>
      <c r="AF434" s="40">
        <f>ROUND(((Z434+AA434+AB434)),5)</f>
        <v>12.5044</v>
      </c>
      <c r="AG434" s="288"/>
      <c r="AH434" s="288"/>
    </row>
    <row r="435" spans="1:34" s="61" customFormat="1" ht="15" customHeight="1" x14ac:dyDescent="0.25">
      <c r="A435" s="260"/>
      <c r="B435" s="288"/>
      <c r="C435" s="39"/>
      <c r="D435" s="39"/>
      <c r="E435" s="39"/>
      <c r="F435" s="39"/>
      <c r="G435" s="39"/>
      <c r="H435" s="39"/>
      <c r="I435" s="39"/>
      <c r="J435" s="39"/>
      <c r="K435" s="39"/>
      <c r="L435" s="40">
        <v>1.79</v>
      </c>
      <c r="M435" s="40">
        <v>2.15</v>
      </c>
      <c r="N435" s="39"/>
      <c r="O435" s="39"/>
      <c r="P435" s="39"/>
      <c r="Q435" s="39"/>
      <c r="R435" s="39"/>
      <c r="S435" s="285">
        <v>1.24</v>
      </c>
      <c r="T435" s="38">
        <f>ROUND((L435*I432+1.3*L435*K432+S435*H432),4)</f>
        <v>23971.437000000002</v>
      </c>
      <c r="U435" s="38">
        <f>ROUND((M435*0.9*I432+1.3*M435*0.9*K432+S435*H432),4)</f>
        <v>25907.230500000001</v>
      </c>
      <c r="V435" s="38">
        <f>ROUND((M435*I432+1.3*M435*K432+S435*H432),4)</f>
        <v>28777.544999999998</v>
      </c>
      <c r="W435" s="38">
        <f>ROUND((L435*J432+1.3*L435*N432+S435*G432),4)</f>
        <v>55.77</v>
      </c>
      <c r="X435" s="38">
        <f>ROUND((M435*0.9*J432+1.3*M435*0.9*N432+S435*G432),4)</f>
        <v>59.685000000000002</v>
      </c>
      <c r="Y435" s="38">
        <f>ROUND((M435*J432+1.3*N432+S435*G432),4)</f>
        <v>50.54</v>
      </c>
      <c r="Z435" s="276">
        <f>ROUND((P432*T435*F432*O432/1000000),4)</f>
        <v>12.944599999999999</v>
      </c>
      <c r="AA435" s="276">
        <f>ROUND((Q432*U435*F432*O432/1000000),4)</f>
        <v>6.9950000000000001</v>
      </c>
      <c r="AB435" s="276">
        <f>ROUND((R432*V435*F432*O432/1000000),4)</f>
        <v>7.7698999999999998</v>
      </c>
      <c r="AC435" s="277" t="s">
        <v>548</v>
      </c>
      <c r="AD435" s="278" t="s">
        <v>549</v>
      </c>
      <c r="AE435" s="40">
        <f>ROUND((((X435*E432)/1800)),4)</f>
        <v>9.9500000000000005E-2</v>
      </c>
      <c r="AF435" s="40">
        <f>ROUND(((Z435+AA435+AB435)),4)</f>
        <v>27.709499999999998</v>
      </c>
      <c r="AG435" s="288"/>
      <c r="AH435" s="288"/>
    </row>
    <row r="436" spans="1:34" s="61" customFormat="1" ht="15" customHeight="1" x14ac:dyDescent="0.25">
      <c r="A436" s="260"/>
      <c r="B436" s="280"/>
      <c r="C436" s="39"/>
      <c r="D436" s="39"/>
      <c r="E436" s="39"/>
      <c r="F436" s="39"/>
      <c r="G436" s="39"/>
      <c r="H436" s="39"/>
      <c r="I436" s="39"/>
      <c r="J436" s="39"/>
      <c r="K436" s="39"/>
      <c r="L436" s="40">
        <v>1.1299999999999999</v>
      </c>
      <c r="M436" s="40">
        <v>1.7</v>
      </c>
      <c r="N436" s="39"/>
      <c r="O436" s="39"/>
      <c r="P436" s="39"/>
      <c r="Q436" s="39"/>
      <c r="R436" s="39"/>
      <c r="S436" s="285">
        <v>0.26</v>
      </c>
      <c r="T436" s="38">
        <f>ROUND((L436*I432+1.3*L436*K432+S436*H432),4)</f>
        <v>15101.439</v>
      </c>
      <c r="U436" s="38">
        <f>ROUND((M436*0.9*I432+1.3*M436*0.9*K432+S436*H432),4)</f>
        <v>20441.559000000001</v>
      </c>
      <c r="V436" s="38">
        <f>ROUND((M436*I432+1.3*M436*K432+S436*H432),4)</f>
        <v>22711.11</v>
      </c>
      <c r="W436" s="38">
        <f>ROUND((L436*J432+1.3*L436*N432+S436*G432),4)</f>
        <v>32.07</v>
      </c>
      <c r="X436" s="38">
        <f>ROUND((M436*0.9*J432+1.3*M436*0.9*N432+S436*G432),4)</f>
        <v>42.87</v>
      </c>
      <c r="Y436" s="38">
        <f>ROUND((M436*J432+1.3*M436*N432+S436*G432),4)</f>
        <v>47.46</v>
      </c>
      <c r="Z436" s="276">
        <f>ROUND((P432*T436*F432*O432/1000000),4)</f>
        <v>8.1547999999999998</v>
      </c>
      <c r="AA436" s="276">
        <f>ROUND((Q432*U436*F432*O432/1000000),4)</f>
        <v>5.5191999999999997</v>
      </c>
      <c r="AB436" s="276">
        <f>ROUND((R432*V436*F432*O432/1000000),4)</f>
        <v>6.1319999999999997</v>
      </c>
      <c r="AC436" s="277" t="s">
        <v>172</v>
      </c>
      <c r="AD436" s="278" t="s">
        <v>173</v>
      </c>
      <c r="AE436" s="40">
        <f>ROUND((((X436*E432)/1800)),4)</f>
        <v>7.1499999999999994E-2</v>
      </c>
      <c r="AF436" s="40">
        <f>ROUND(((Z436+AA436+AB436)),4)</f>
        <v>19.806000000000001</v>
      </c>
      <c r="AG436" s="288"/>
      <c r="AH436" s="288"/>
    </row>
    <row r="437" spans="1:34" s="61" customFormat="1" ht="15" customHeight="1" x14ac:dyDescent="0.25">
      <c r="A437" s="260"/>
      <c r="B437" s="286"/>
      <c r="C437" s="119"/>
      <c r="D437" s="119"/>
      <c r="E437" s="119"/>
      <c r="F437" s="119"/>
      <c r="G437" s="119"/>
      <c r="H437" s="119"/>
      <c r="I437" s="119"/>
      <c r="J437" s="119"/>
      <c r="K437" s="119"/>
      <c r="L437" s="40">
        <v>5.3</v>
      </c>
      <c r="M437" s="40">
        <v>6.47</v>
      </c>
      <c r="N437" s="119"/>
      <c r="O437" s="119"/>
      <c r="P437" s="119"/>
      <c r="Q437" s="119"/>
      <c r="R437" s="119"/>
      <c r="S437" s="285">
        <v>9.92</v>
      </c>
      <c r="T437" s="38">
        <f>ROUND((L437*I432+1.3*L437*K432+S437*H432),4)</f>
        <v>71351.789999999994</v>
      </c>
      <c r="U437" s="38">
        <f>ROUND((M437*0.9*I432+1.3*M437*0.9*K432+S437*H432),4)</f>
        <v>78333.996899999998</v>
      </c>
      <c r="V437" s="38">
        <f>ROUND((M437*I432+1.3*M437*K432+S437*H432),4)</f>
        <v>86971.641000000003</v>
      </c>
      <c r="W437" s="38">
        <f>ROUND((L437*J432+1.3*L437*N432+S437*G432),4)</f>
        <v>202.62</v>
      </c>
      <c r="X437" s="38">
        <f>ROUND((M437*0.9*J432+1.3*M437*0.9*N432+S437*G432),4)</f>
        <v>216.74100000000001</v>
      </c>
      <c r="Y437" s="38">
        <f>ROUND((M437*J432+1.3*M437*N432+S437*G432),4)</f>
        <v>234.21</v>
      </c>
      <c r="Z437" s="276">
        <f>ROUND((P432*T437*F432*O432/1000000),4)</f>
        <v>38.53</v>
      </c>
      <c r="AA437" s="276">
        <f>ROUND((Q432*U437*F432*O432/1000000),4)</f>
        <v>21.150200000000002</v>
      </c>
      <c r="AB437" s="276">
        <f>ROUND((R432*V437*F432*O432/1000000),4)</f>
        <v>23.482299999999999</v>
      </c>
      <c r="AC437" s="277" t="s">
        <v>157</v>
      </c>
      <c r="AD437" s="278" t="s">
        <v>153</v>
      </c>
      <c r="AE437" s="40">
        <f>ROUND((((X437*E432)/1800)),4)</f>
        <v>0.36120000000000002</v>
      </c>
      <c r="AF437" s="40">
        <f>ROUND(((Z437+AA437+AB437)),4)</f>
        <v>83.162499999999994</v>
      </c>
      <c r="AG437" s="288"/>
      <c r="AH437" s="288"/>
    </row>
    <row r="438" spans="1:34" s="61" customFormat="1" ht="15" customHeight="1" x14ac:dyDescent="0.25">
      <c r="A438" s="260"/>
      <c r="B438" s="1638" t="s">
        <v>562</v>
      </c>
      <c r="C438" s="38">
        <v>7</v>
      </c>
      <c r="D438" s="38" t="s">
        <v>560</v>
      </c>
      <c r="E438" s="38">
        <v>1</v>
      </c>
      <c r="F438" s="38">
        <v>11</v>
      </c>
      <c r="G438" s="38">
        <v>6</v>
      </c>
      <c r="H438" s="38">
        <v>60</v>
      </c>
      <c r="I438" s="38">
        <f>(8-1-0.75*2)*60*F438-K438-8*0.12*60</f>
        <v>1212.9000000000001</v>
      </c>
      <c r="J438" s="38">
        <v>14</v>
      </c>
      <c r="K438" s="38">
        <f>(8-1-0.75*2)*0.65*60*F438</f>
        <v>2359.5</v>
      </c>
      <c r="L438" s="38">
        <v>10.16</v>
      </c>
      <c r="M438" s="38">
        <v>10.16</v>
      </c>
      <c r="N438" s="38">
        <v>10</v>
      </c>
      <c r="O438" s="38">
        <f>E438/F438</f>
        <v>9.0909090909090912E-2</v>
      </c>
      <c r="P438" s="38">
        <v>180</v>
      </c>
      <c r="Q438" s="38">
        <v>90</v>
      </c>
      <c r="R438" s="275">
        <v>90</v>
      </c>
      <c r="S438" s="275">
        <v>1.99</v>
      </c>
      <c r="T438" s="38">
        <f>ROUND((L438*I438+1.3*L438*K438+S438*H438),4)</f>
        <v>43606.74</v>
      </c>
      <c r="U438" s="38">
        <f>ROUND((M438*I438+1.3*M438*K438+S438*H438),4)</f>
        <v>43606.74</v>
      </c>
      <c r="V438" s="38">
        <f>ROUND((M438*I438+1.3*M438*K438+S438*H438),4)</f>
        <v>43606.74</v>
      </c>
      <c r="W438" s="38">
        <f>ROUND((L438*J438+1.3*L438*N438+S438*G438),4)</f>
        <v>286.26</v>
      </c>
      <c r="X438" s="38">
        <f>ROUND((M438*J438+1.3*M438*N438+S438*G438),4)</f>
        <v>286.26</v>
      </c>
      <c r="Y438" s="38">
        <f>ROUND((M438*J438+1.3*M438*N438+S438*G438),4)</f>
        <v>286.26</v>
      </c>
      <c r="Z438" s="276">
        <f>ROUND((P438*T438*F438*O438/1000000),4)</f>
        <v>7.8491999999999997</v>
      </c>
      <c r="AA438" s="276">
        <f>ROUND((Q438*U438*F438*O438/1000000),4)</f>
        <v>3.9245999999999999</v>
      </c>
      <c r="AB438" s="276">
        <f>ROUND((R438*V438*F438*O438/1000000),4)</f>
        <v>3.9245999999999999</v>
      </c>
      <c r="AC438" s="277" t="s">
        <v>165</v>
      </c>
      <c r="AD438" s="278" t="s">
        <v>144</v>
      </c>
      <c r="AE438" s="40">
        <f>ROUND((((X438*E438)/1800)*0.8),4)</f>
        <v>0.12720000000000001</v>
      </c>
      <c r="AF438" s="40">
        <f>ROUND(((Z438+AA438+AB438)*0.8),4)</f>
        <v>12.5587</v>
      </c>
      <c r="AG438" s="288"/>
      <c r="AH438" s="288"/>
    </row>
    <row r="439" spans="1:34" s="61" customFormat="1" ht="15" customHeight="1" x14ac:dyDescent="0.25">
      <c r="A439" s="260"/>
      <c r="B439" s="1639"/>
      <c r="C439" s="39"/>
      <c r="D439" s="39"/>
      <c r="E439" s="39"/>
      <c r="F439" s="39"/>
      <c r="G439" s="39"/>
      <c r="H439" s="39"/>
      <c r="I439" s="39"/>
      <c r="J439" s="39"/>
      <c r="K439" s="39"/>
      <c r="L439" s="119"/>
      <c r="M439" s="119"/>
      <c r="N439" s="39"/>
      <c r="O439" s="39"/>
      <c r="P439" s="39"/>
      <c r="Q439" s="39"/>
      <c r="R439" s="39"/>
      <c r="S439" s="281"/>
      <c r="T439" s="39"/>
      <c r="U439" s="39"/>
      <c r="V439" s="39"/>
      <c r="W439" s="39"/>
      <c r="X439" s="39"/>
      <c r="Y439" s="39"/>
      <c r="Z439" s="39"/>
      <c r="AA439" s="39"/>
      <c r="AB439" s="39"/>
      <c r="AC439" s="277" t="s">
        <v>166</v>
      </c>
      <c r="AD439" s="278" t="s">
        <v>167</v>
      </c>
      <c r="AE439" s="40">
        <f>ROUND((((X438*E438)/1800)*0.13),4)</f>
        <v>2.07E-2</v>
      </c>
      <c r="AF439" s="40">
        <f>ROUND(((Z438+AA438+AB438)*0.13),4)</f>
        <v>2.0407999999999999</v>
      </c>
      <c r="AG439" s="288"/>
      <c r="AH439" s="288"/>
    </row>
    <row r="440" spans="1:34" s="61" customFormat="1" ht="15" customHeight="1" x14ac:dyDescent="0.25">
      <c r="A440" s="260"/>
      <c r="B440" s="1634" t="s">
        <v>564</v>
      </c>
      <c r="C440" s="283"/>
      <c r="D440" s="283"/>
      <c r="E440" s="39"/>
      <c r="F440" s="39"/>
      <c r="G440" s="39"/>
      <c r="H440" s="39"/>
      <c r="I440" s="39"/>
      <c r="J440" s="39"/>
      <c r="K440" s="39"/>
      <c r="L440" s="40">
        <v>0.8</v>
      </c>
      <c r="M440" s="40">
        <v>0.98</v>
      </c>
      <c r="N440" s="39"/>
      <c r="O440" s="39"/>
      <c r="P440" s="39"/>
      <c r="Q440" s="39"/>
      <c r="R440" s="39"/>
      <c r="S440" s="284">
        <v>0.39</v>
      </c>
      <c r="T440" s="38">
        <f>ROUND((L440*I438+1.3*L440*K438+S440*H438),4)</f>
        <v>3447.6</v>
      </c>
      <c r="U440" s="38">
        <f>ROUND((M440*0.9*I438+1.3*M440*0.9*K438+S440*H438),4)</f>
        <v>3798.5805</v>
      </c>
      <c r="V440" s="38">
        <f>ROUND((M440*I438+1.3*M440*K438+S440*H438),4)</f>
        <v>4218.0450000000001</v>
      </c>
      <c r="W440" s="38">
        <f>ROUND((L440*J438+1.3*L440*N438+S440*G438),4)</f>
        <v>23.94</v>
      </c>
      <c r="X440" s="38">
        <f>ROUND((M440*0.9*J438+1.3*M440*0.9*N438+S440*G438),4)</f>
        <v>26.154</v>
      </c>
      <c r="Y440" s="38">
        <f>ROUND((M440*J438+1.3*M440*N438+S440*G438),4)</f>
        <v>28.8</v>
      </c>
      <c r="Z440" s="276">
        <f>ROUND((P438*T440*F438*O438/1000000),4)</f>
        <v>0.62060000000000004</v>
      </c>
      <c r="AA440" s="276">
        <f>ROUND((Q438*U440*F438*O438/1000000),4)</f>
        <v>0.34189999999999998</v>
      </c>
      <c r="AB440" s="276">
        <f>ROUND((R438*V440*F438*O438/1000000),4)</f>
        <v>0.37959999999999999</v>
      </c>
      <c r="AC440" s="277" t="s">
        <v>547</v>
      </c>
      <c r="AD440" s="278" t="s">
        <v>169</v>
      </c>
      <c r="AE440" s="40">
        <f>ROUND((((X440*E438)/1800)),4)</f>
        <v>1.4500000000000001E-2</v>
      </c>
      <c r="AF440" s="40">
        <f>ROUND(((Z440+AA440+AB440)),5)</f>
        <v>1.3421000000000001</v>
      </c>
      <c r="AG440" s="288"/>
      <c r="AH440" s="288"/>
    </row>
    <row r="441" spans="1:34" s="61" customFormat="1" ht="15" customHeight="1" x14ac:dyDescent="0.25">
      <c r="A441" s="260"/>
      <c r="B441" s="1634"/>
      <c r="C441" s="39"/>
      <c r="D441" s="39"/>
      <c r="E441" s="39"/>
      <c r="F441" s="39"/>
      <c r="G441" s="39"/>
      <c r="H441" s="39"/>
      <c r="I441" s="39"/>
      <c r="J441" s="39"/>
      <c r="K441" s="39"/>
      <c r="L441" s="40">
        <v>1.79</v>
      </c>
      <c r="M441" s="40">
        <v>2.15</v>
      </c>
      <c r="N441" s="39"/>
      <c r="O441" s="39"/>
      <c r="P441" s="39"/>
      <c r="Q441" s="39"/>
      <c r="R441" s="39"/>
      <c r="S441" s="285">
        <v>1.24</v>
      </c>
      <c r="T441" s="38">
        <f>ROUND((L441*I438+1.3*L441*K438+S441*H438),4)</f>
        <v>7736.0474999999997</v>
      </c>
      <c r="U441" s="38">
        <f>ROUND((M441*0.9*I438+1.3*M441*0.9*K438+S441*H438),4)</f>
        <v>8356.6838000000007</v>
      </c>
      <c r="V441" s="38">
        <f>ROUND((M441*I438+1.3*M441*K438+S441*H438),4)</f>
        <v>9276.9375</v>
      </c>
      <c r="W441" s="38">
        <f>ROUND((L441*J438+1.3*L441*N438+S441*G438),4)</f>
        <v>55.77</v>
      </c>
      <c r="X441" s="38">
        <f>ROUND((M441*0.9*J438+1.3*M441*0.9*N438+S441*G438),4)</f>
        <v>59.685000000000002</v>
      </c>
      <c r="Y441" s="38">
        <f>ROUND((M441*J438+1.3*N438+S441*G438),4)</f>
        <v>50.54</v>
      </c>
      <c r="Z441" s="276">
        <f>ROUND((P438*T441*F438*O438/1000000),4)</f>
        <v>1.3925000000000001</v>
      </c>
      <c r="AA441" s="276">
        <f>ROUND((Q438*U441*F438*O438/1000000),4)</f>
        <v>0.75209999999999999</v>
      </c>
      <c r="AB441" s="276">
        <f>ROUND((R438*V441*F438*O438/1000000),4)</f>
        <v>0.83489999999999998</v>
      </c>
      <c r="AC441" s="277" t="s">
        <v>548</v>
      </c>
      <c r="AD441" s="278" t="s">
        <v>549</v>
      </c>
      <c r="AE441" s="40">
        <f>ROUND((((X441*E438)/1800)),4)</f>
        <v>3.32E-2</v>
      </c>
      <c r="AF441" s="40">
        <f>ROUND(((Z441+AA441+AB441)),4)</f>
        <v>2.9794999999999998</v>
      </c>
      <c r="AG441" s="288"/>
      <c r="AH441" s="288"/>
    </row>
    <row r="442" spans="1:34" s="61" customFormat="1" ht="15" customHeight="1" x14ac:dyDescent="0.25">
      <c r="A442" s="260"/>
      <c r="B442" s="280"/>
      <c r="C442" s="39"/>
      <c r="D442" s="39"/>
      <c r="E442" s="39"/>
      <c r="F442" s="39"/>
      <c r="G442" s="39"/>
      <c r="H442" s="39"/>
      <c r="I442" s="39"/>
      <c r="J442" s="39"/>
      <c r="K442" s="39"/>
      <c r="L442" s="40">
        <v>1.1299999999999999</v>
      </c>
      <c r="M442" s="40">
        <v>1.7</v>
      </c>
      <c r="N442" s="39"/>
      <c r="O442" s="39"/>
      <c r="P442" s="39"/>
      <c r="Q442" s="39"/>
      <c r="R442" s="39"/>
      <c r="S442" s="285">
        <v>0.26</v>
      </c>
      <c r="T442" s="38">
        <f>ROUND((L442*I438+1.3*L442*K438+S442*H438),4)</f>
        <v>4852.2825000000003</v>
      </c>
      <c r="U442" s="38">
        <f>ROUND((M442*0.9*I438+1.3*M442*0.9*K438+S442*H438),4)</f>
        <v>6564.3824999999997</v>
      </c>
      <c r="V442" s="38">
        <f>ROUND((M442*I438+1.3*M442*K438+S442*H438),4)</f>
        <v>7292.0249999999996</v>
      </c>
      <c r="W442" s="38">
        <f>ROUND((L442*J438+1.3*L442*N438+S442*G438),4)</f>
        <v>32.07</v>
      </c>
      <c r="X442" s="38">
        <f>ROUND((M442*0.9*J438+1.3*M442*0.9*N438+S442*G438),4)</f>
        <v>42.87</v>
      </c>
      <c r="Y442" s="38">
        <f>ROUND((M442*J438+1.3*M442*N438+S442*G438),4)</f>
        <v>47.46</v>
      </c>
      <c r="Z442" s="276">
        <f>ROUND((P438*T442*F438*O438/1000000),4)</f>
        <v>0.87339999999999995</v>
      </c>
      <c r="AA442" s="276">
        <f>ROUND((Q438*U442*F438*O438/1000000),4)</f>
        <v>0.59079999999999999</v>
      </c>
      <c r="AB442" s="276">
        <f>ROUND((R438*V442*F438*O438/1000000),4)</f>
        <v>0.65629999999999999</v>
      </c>
      <c r="AC442" s="277" t="s">
        <v>172</v>
      </c>
      <c r="AD442" s="278" t="s">
        <v>173</v>
      </c>
      <c r="AE442" s="40">
        <f>ROUND((((X442*E438)/1800)),4)</f>
        <v>2.3800000000000002E-2</v>
      </c>
      <c r="AF442" s="40">
        <f>ROUND(((Z442+AA442+AB442)),4)</f>
        <v>2.1204999999999998</v>
      </c>
      <c r="AG442" s="288"/>
      <c r="AH442" s="288"/>
    </row>
    <row r="443" spans="1:34" s="61" customFormat="1" ht="15" customHeight="1" x14ac:dyDescent="0.25">
      <c r="A443" s="260"/>
      <c r="B443" s="286"/>
      <c r="C443" s="119"/>
      <c r="D443" s="119"/>
      <c r="E443" s="119"/>
      <c r="F443" s="119"/>
      <c r="G443" s="119"/>
      <c r="H443" s="119"/>
      <c r="I443" s="119"/>
      <c r="J443" s="119"/>
      <c r="K443" s="119"/>
      <c r="L443" s="40">
        <v>5.3</v>
      </c>
      <c r="M443" s="40">
        <v>6.47</v>
      </c>
      <c r="N443" s="119"/>
      <c r="O443" s="119"/>
      <c r="P443" s="119"/>
      <c r="Q443" s="119"/>
      <c r="R443" s="119"/>
      <c r="S443" s="285">
        <v>9.92</v>
      </c>
      <c r="T443" s="38">
        <f>ROUND((L443*I438+1.3*L443*K438+S443*H438),4)</f>
        <v>23280.525000000001</v>
      </c>
      <c r="U443" s="38">
        <f>ROUND((M443*0.9*I438+1.3*M443*0.9*K438+S443*H438),4)</f>
        <v>25519.095799999999</v>
      </c>
      <c r="V443" s="38">
        <f>ROUND((M443*I438+1.3*M443*K438+S443*H438),4)</f>
        <v>28288.4175</v>
      </c>
      <c r="W443" s="38">
        <f>ROUND((L443*J438+1.3*L443*N438+S443*G438),4)</f>
        <v>202.62</v>
      </c>
      <c r="X443" s="38">
        <f>ROUND((M443*0.9*J438+1.3*M443*0.9*N438+S443*G438),4)</f>
        <v>216.74100000000001</v>
      </c>
      <c r="Y443" s="38">
        <f>ROUND((M443*J438+1.3*M443*N438+S443*G438),4)</f>
        <v>234.21</v>
      </c>
      <c r="Z443" s="276">
        <f>ROUND((P438*T443*F438*O438/1000000),4)</f>
        <v>4.1905000000000001</v>
      </c>
      <c r="AA443" s="276">
        <f>ROUND((Q438*U443*F438*O438/1000000),4)</f>
        <v>2.2967</v>
      </c>
      <c r="AB443" s="276">
        <f>ROUND((R438*V443*F438*O438/1000000),4)</f>
        <v>2.5459999999999998</v>
      </c>
      <c r="AC443" s="277" t="s">
        <v>157</v>
      </c>
      <c r="AD443" s="278" t="s">
        <v>153</v>
      </c>
      <c r="AE443" s="40">
        <f>ROUND((((X443*E438)/1800)),4)</f>
        <v>0.12039999999999999</v>
      </c>
      <c r="AF443" s="40">
        <f>ROUND(((Z443+AA443+AB443)),4)</f>
        <v>9.0332000000000008</v>
      </c>
      <c r="AG443" s="288"/>
      <c r="AH443" s="288"/>
    </row>
    <row r="444" spans="1:34" s="61" customFormat="1" ht="15" customHeight="1" x14ac:dyDescent="0.25">
      <c r="A444" s="260"/>
      <c r="B444" s="1478" t="s">
        <v>581</v>
      </c>
      <c r="C444" s="274">
        <v>5</v>
      </c>
      <c r="D444" s="38" t="s">
        <v>552</v>
      </c>
      <c r="E444" s="38">
        <v>1</v>
      </c>
      <c r="F444" s="38">
        <v>1</v>
      </c>
      <c r="G444" s="38">
        <v>6</v>
      </c>
      <c r="H444" s="38">
        <v>60</v>
      </c>
      <c r="I444" s="38">
        <f>(8-1-0.75*2)*60*F444-K444-8*0.12*60</f>
        <v>57.900000000000006</v>
      </c>
      <c r="J444" s="38">
        <v>14</v>
      </c>
      <c r="K444" s="38">
        <f>(8-1-0.75*2)*0.65*60*F444</f>
        <v>214.5</v>
      </c>
      <c r="L444" s="38">
        <v>4.01</v>
      </c>
      <c r="M444" s="38">
        <v>4.01</v>
      </c>
      <c r="N444" s="38">
        <v>10</v>
      </c>
      <c r="O444" s="38">
        <f>E444/F444</f>
        <v>1</v>
      </c>
      <c r="P444" s="38">
        <v>180</v>
      </c>
      <c r="Q444" s="38">
        <v>90</v>
      </c>
      <c r="R444" s="275">
        <v>90</v>
      </c>
      <c r="S444" s="275">
        <v>0.78</v>
      </c>
      <c r="T444" s="38">
        <f>ROUND((L444*I444+1.3*L444*K444+S444*H444),4)</f>
        <v>1397.1675</v>
      </c>
      <c r="U444" s="38">
        <f>ROUND((M444*I444+1.3*M444*K444+S444*H444),4)</f>
        <v>1397.1675</v>
      </c>
      <c r="V444" s="38">
        <f>ROUND((M444*I444+1.3*M444*K444+S444*H444),4)</f>
        <v>1397.1675</v>
      </c>
      <c r="W444" s="38">
        <f>ROUND((L444*J444+1.3*L444*N444+S444*G444),4)</f>
        <v>112.95</v>
      </c>
      <c r="X444" s="38">
        <f>ROUND((M444*J444+1.3*M444*N444+S444*G444),4)</f>
        <v>112.95</v>
      </c>
      <c r="Y444" s="38">
        <f>ROUND((M444*J444+1.3*M444*N444+S444*G444),4)</f>
        <v>112.95</v>
      </c>
      <c r="Z444" s="276">
        <f>ROUND((P444*T444*F444*O444/1000000),4)</f>
        <v>0.2515</v>
      </c>
      <c r="AA444" s="276">
        <f>ROUND((Q444*U444*F444*O444/1000000),4)</f>
        <v>0.12570000000000001</v>
      </c>
      <c r="AB444" s="276">
        <f>ROUND((R444*V444*F444*O444/1000000),4)</f>
        <v>0.12570000000000001</v>
      </c>
      <c r="AC444" s="277" t="s">
        <v>165</v>
      </c>
      <c r="AD444" s="278" t="s">
        <v>144</v>
      </c>
      <c r="AE444" s="40">
        <f>ROUND((((X444*E444)/1800)*0.8),4)</f>
        <v>5.0200000000000002E-2</v>
      </c>
      <c r="AF444" s="40">
        <f>ROUND(((Z444+AA444+AB444)*0.8),4)</f>
        <v>0.40229999999999999</v>
      </c>
      <c r="AG444" s="254"/>
      <c r="AH444" s="254"/>
    </row>
    <row r="445" spans="1:34" s="61" customFormat="1" ht="15" customHeight="1" x14ac:dyDescent="0.25">
      <c r="A445" s="260"/>
      <c r="B445" s="1634"/>
      <c r="C445" s="280"/>
      <c r="D445" s="39"/>
      <c r="E445" s="39"/>
      <c r="F445" s="39"/>
      <c r="G445" s="39"/>
      <c r="H445" s="39"/>
      <c r="I445" s="39"/>
      <c r="J445" s="39"/>
      <c r="K445" s="39"/>
      <c r="L445" s="119"/>
      <c r="M445" s="119"/>
      <c r="N445" s="39"/>
      <c r="O445" s="39"/>
      <c r="P445" s="39"/>
      <c r="Q445" s="39"/>
      <c r="R445" s="39"/>
      <c r="S445" s="281"/>
      <c r="T445" s="39"/>
      <c r="U445" s="39"/>
      <c r="V445" s="39"/>
      <c r="W445" s="39"/>
      <c r="X445" s="39"/>
      <c r="Y445" s="39"/>
      <c r="Z445" s="39"/>
      <c r="AA445" s="39"/>
      <c r="AB445" s="39"/>
      <c r="AC445" s="277" t="s">
        <v>166</v>
      </c>
      <c r="AD445" s="278" t="s">
        <v>167</v>
      </c>
      <c r="AE445" s="40">
        <f>ROUND((((X444*E444)/1800)*0.13),4)</f>
        <v>8.2000000000000007E-3</v>
      </c>
      <c r="AF445" s="40">
        <f>ROUND(((Z444+AA444+AB444)*0.13),4)</f>
        <v>6.54E-2</v>
      </c>
      <c r="AG445" s="254"/>
      <c r="AH445" s="254"/>
    </row>
    <row r="446" spans="1:34" s="61" customFormat="1" ht="15" customHeight="1" x14ac:dyDescent="0.25">
      <c r="A446" s="260"/>
      <c r="B446" s="279" t="s">
        <v>582</v>
      </c>
      <c r="C446" s="282"/>
      <c r="D446" s="283"/>
      <c r="E446" s="39"/>
      <c r="F446" s="39"/>
      <c r="G446" s="39"/>
      <c r="H446" s="39"/>
      <c r="I446" s="39"/>
      <c r="J446" s="39"/>
      <c r="K446" s="39"/>
      <c r="L446" s="40">
        <v>0.31</v>
      </c>
      <c r="M446" s="40">
        <v>0.38</v>
      </c>
      <c r="N446" s="39"/>
      <c r="O446" s="39"/>
      <c r="P446" s="39"/>
      <c r="Q446" s="39"/>
      <c r="R446" s="39"/>
      <c r="S446" s="284">
        <v>0.16</v>
      </c>
      <c r="T446" s="38">
        <f>ROUND((L446*I444+1.3*L446*K444+S446*H444),4)</f>
        <v>113.99250000000001</v>
      </c>
      <c r="U446" s="38">
        <f>ROUND((M446*0.9*I444+1.3*M446*0.9*K444+S446*H444),4)</f>
        <v>124.7685</v>
      </c>
      <c r="V446" s="38">
        <f>ROUND((M446*I444+1.3*M446*K444+S446*H444),4)</f>
        <v>137.565</v>
      </c>
      <c r="W446" s="38">
        <f>ROUND((L446*J444+1.3*L446*N444+S446*G444),4)</f>
        <v>9.33</v>
      </c>
      <c r="X446" s="38">
        <f>ROUND((M446*0.9*J444+1.3*M446*0.9*N444+S446*G444),4)</f>
        <v>10.194000000000001</v>
      </c>
      <c r="Y446" s="38">
        <f>ROUND((M446*J444+1.3*M446*N444+S446*G444),4)</f>
        <v>11.22</v>
      </c>
      <c r="Z446" s="276">
        <f>ROUND((P444*T446*F444*O444/1000000),4)</f>
        <v>2.0500000000000001E-2</v>
      </c>
      <c r="AA446" s="276">
        <f>ROUND((Q444*U446*F444*O444/1000000),4)</f>
        <v>1.12E-2</v>
      </c>
      <c r="AB446" s="276">
        <f>ROUND((R444*V446*F444*O444/1000000),4)</f>
        <v>1.24E-2</v>
      </c>
      <c r="AC446" s="277" t="s">
        <v>547</v>
      </c>
      <c r="AD446" s="278" t="s">
        <v>169</v>
      </c>
      <c r="AE446" s="40">
        <f>ROUND((((X446*E444)/1800)),4)</f>
        <v>5.7000000000000002E-3</v>
      </c>
      <c r="AF446" s="40">
        <f>ROUND(((Z446+AA446+AB446)),5)</f>
        <v>4.41E-2</v>
      </c>
      <c r="AG446" s="254"/>
      <c r="AH446" s="254"/>
    </row>
    <row r="447" spans="1:34" s="61" customFormat="1" ht="15" customHeight="1" x14ac:dyDescent="0.25">
      <c r="A447" s="260"/>
      <c r="B447" s="280"/>
      <c r="C447" s="280"/>
      <c r="D447" s="39"/>
      <c r="E447" s="39"/>
      <c r="F447" s="39"/>
      <c r="G447" s="39"/>
      <c r="H447" s="39"/>
      <c r="I447" s="39"/>
      <c r="J447" s="39"/>
      <c r="K447" s="39"/>
      <c r="L447" s="40">
        <v>0.71</v>
      </c>
      <c r="M447" s="40">
        <v>0.85</v>
      </c>
      <c r="N447" s="39"/>
      <c r="O447" s="39"/>
      <c r="P447" s="39"/>
      <c r="Q447" s="39"/>
      <c r="R447" s="39"/>
      <c r="S447" s="285">
        <v>0.49</v>
      </c>
      <c r="T447" s="38">
        <f>ROUND((L447*I444+1.3*L447*K444+S447*H444),4)</f>
        <v>268.49250000000001</v>
      </c>
      <c r="U447" s="38">
        <f>ROUND((M447*0.9*I444+1.3*M447*0.9*K444+S447*H444),4)</f>
        <v>287.0138</v>
      </c>
      <c r="V447" s="38">
        <f>ROUND((M447*I444+1.3*M447*K444+S447*H444),4)</f>
        <v>315.63749999999999</v>
      </c>
      <c r="W447" s="38">
        <f>ROUND((L447*J444+1.3*L447*N444+S447*G444),4)</f>
        <v>22.11</v>
      </c>
      <c r="X447" s="38">
        <f>ROUND((M447*0.9*J444+1.3*M447*0.9*N444+S447*G444),4)</f>
        <v>23.594999999999999</v>
      </c>
      <c r="Y447" s="38">
        <f>ROUND((M447*J444+1.3*N444+S447*G444),4)</f>
        <v>27.84</v>
      </c>
      <c r="Z447" s="276">
        <f>ROUND((P444*T447*F444*O444/1000000),4)</f>
        <v>4.8300000000000003E-2</v>
      </c>
      <c r="AA447" s="276">
        <f>ROUND((Q444*U447*F444*O444/1000000),4)</f>
        <v>2.58E-2</v>
      </c>
      <c r="AB447" s="276">
        <f>ROUND((R444*V447*F444*O444/1000000),4)</f>
        <v>2.8400000000000002E-2</v>
      </c>
      <c r="AC447" s="277" t="s">
        <v>548</v>
      </c>
      <c r="AD447" s="278" t="s">
        <v>549</v>
      </c>
      <c r="AE447" s="40">
        <f>ROUND((((X447*E444)/1800)),4)</f>
        <v>1.3100000000000001E-2</v>
      </c>
      <c r="AF447" s="40">
        <f>ROUND(((Z447+AA447+AB447)),4)</f>
        <v>0.10249999999999999</v>
      </c>
      <c r="AG447" s="254"/>
      <c r="AH447" s="254"/>
    </row>
    <row r="448" spans="1:34" s="61" customFormat="1" ht="15" customHeight="1" x14ac:dyDescent="0.25">
      <c r="A448" s="260"/>
      <c r="B448" s="280"/>
      <c r="C448" s="280"/>
      <c r="D448" s="39"/>
      <c r="E448" s="39"/>
      <c r="F448" s="39"/>
      <c r="G448" s="39"/>
      <c r="H448" s="39"/>
      <c r="I448" s="39"/>
      <c r="J448" s="39"/>
      <c r="K448" s="39"/>
      <c r="L448" s="40">
        <v>0.45</v>
      </c>
      <c r="M448" s="40">
        <v>0.67</v>
      </c>
      <c r="N448" s="39"/>
      <c r="O448" s="39"/>
      <c r="P448" s="39"/>
      <c r="Q448" s="39"/>
      <c r="R448" s="39"/>
      <c r="S448" s="285">
        <v>0.1</v>
      </c>
      <c r="T448" s="38">
        <f>ROUND((L448*I444+1.3*L448*K444+S448*H444),4)</f>
        <v>157.53749999999999</v>
      </c>
      <c r="U448" s="38">
        <f>ROUND((M448*0.9*I444+1.3*M448*0.9*K444+S448*H444),4)</f>
        <v>209.06030000000001</v>
      </c>
      <c r="V448" s="38">
        <f>ROUND((M448*I444+1.3*M448*K444+S448*H444),4)</f>
        <v>231.6225</v>
      </c>
      <c r="W448" s="38">
        <f>ROUND((L448*J444+1.3*L448*N444+S448*G444),4)</f>
        <v>12.75</v>
      </c>
      <c r="X448" s="38">
        <f>ROUND((M448*0.9*J444+1.3*M448*0.9*N444+S448*G444),4)</f>
        <v>16.881</v>
      </c>
      <c r="Y448" s="38">
        <f>ROUND((M448*J444+1.3*M448*N444+S448*G444),4)</f>
        <v>18.690000000000001</v>
      </c>
      <c r="Z448" s="276">
        <f>ROUND((P444*T448*F444*O444/1000000),4)</f>
        <v>2.8400000000000002E-2</v>
      </c>
      <c r="AA448" s="276">
        <f>ROUND((Q444*U448*F444*O444/1000000),4)</f>
        <v>1.8800000000000001E-2</v>
      </c>
      <c r="AB448" s="276">
        <f>ROUND((R444*V448*F444*O444/1000000),4)</f>
        <v>2.0799999999999999E-2</v>
      </c>
      <c r="AC448" s="277" t="s">
        <v>172</v>
      </c>
      <c r="AD448" s="278" t="s">
        <v>173</v>
      </c>
      <c r="AE448" s="40">
        <f>ROUND((((X448*E444)/1800)),4)</f>
        <v>9.4000000000000004E-3</v>
      </c>
      <c r="AF448" s="40">
        <f>ROUND(((Z448+AA448+AB448)),4)</f>
        <v>6.8000000000000005E-2</v>
      </c>
      <c r="AG448" s="254"/>
      <c r="AH448" s="254"/>
    </row>
    <row r="449" spans="1:35" s="61" customFormat="1" ht="15" customHeight="1" x14ac:dyDescent="0.25">
      <c r="A449" s="260"/>
      <c r="B449" s="286"/>
      <c r="C449" s="286"/>
      <c r="D449" s="119"/>
      <c r="E449" s="119"/>
      <c r="F449" s="119"/>
      <c r="G449" s="119"/>
      <c r="H449" s="119"/>
      <c r="I449" s="119"/>
      <c r="J449" s="119"/>
      <c r="K449" s="119"/>
      <c r="L449" s="40">
        <v>2.09</v>
      </c>
      <c r="M449" s="40">
        <v>2.5499999999999998</v>
      </c>
      <c r="N449" s="119"/>
      <c r="O449" s="119"/>
      <c r="P449" s="119"/>
      <c r="Q449" s="119"/>
      <c r="R449" s="119"/>
      <c r="S449" s="285">
        <v>3.91</v>
      </c>
      <c r="T449" s="38">
        <f>ROUND((L449*I444+1.3*L449*K444+S449*H444),4)</f>
        <v>938.40750000000003</v>
      </c>
      <c r="U449" s="38">
        <f>ROUND((M449*0.9*I444+1.3*M449*0.9*K444+S449*H444),4)</f>
        <v>1007.4413</v>
      </c>
      <c r="V449" s="38">
        <f>ROUND((M449*I444+1.3*M449*K444+S449*H444),4)</f>
        <v>1093.3125</v>
      </c>
      <c r="W449" s="38">
        <f>ROUND((L449*J444+1.3*L449*N444+S449*G444),4)</f>
        <v>79.89</v>
      </c>
      <c r="X449" s="38">
        <f>ROUND((M449*0.9*J444+1.3*M449*0.9*N444+S449*G444),4)</f>
        <v>85.424999999999997</v>
      </c>
      <c r="Y449" s="38">
        <f>ROUND((M449*J444+1.3*M449*N444+S449*G444),4)</f>
        <v>92.31</v>
      </c>
      <c r="Z449" s="276">
        <f>ROUND((P444*T449*F444*O444/1000000),4)</f>
        <v>0.16889999999999999</v>
      </c>
      <c r="AA449" s="276">
        <f>ROUND((Q444*U449*F444*O444/1000000),4)</f>
        <v>9.0700000000000003E-2</v>
      </c>
      <c r="AB449" s="276">
        <f>ROUND((R444*V449*F444*O444/1000000),4)</f>
        <v>9.8400000000000001E-2</v>
      </c>
      <c r="AC449" s="277" t="s">
        <v>157</v>
      </c>
      <c r="AD449" s="278" t="s">
        <v>153</v>
      </c>
      <c r="AE449" s="40">
        <f>ROUND((((X449*E444)/1800)),4)</f>
        <v>4.7500000000000001E-2</v>
      </c>
      <c r="AF449" s="40">
        <f>ROUND(((Z449+AA449+AB449)),4)</f>
        <v>0.35799999999999998</v>
      </c>
      <c r="AG449" s="254"/>
      <c r="AH449" s="254"/>
    </row>
    <row r="450" spans="1:35" s="61" customFormat="1" ht="15" customHeight="1" x14ac:dyDescent="0.25">
      <c r="A450" s="260"/>
      <c r="B450" s="287" t="s">
        <v>565</v>
      </c>
      <c r="C450" s="274">
        <v>1</v>
      </c>
      <c r="D450" s="38" t="s">
        <v>566</v>
      </c>
      <c r="E450" s="38">
        <v>2</v>
      </c>
      <c r="F450" s="38">
        <v>17</v>
      </c>
      <c r="G450" s="38">
        <v>6</v>
      </c>
      <c r="H450" s="38">
        <v>60</v>
      </c>
      <c r="I450" s="38">
        <f>(8-1-0.75*2)*60*F450-K450-8*0.12*60</f>
        <v>1905.9</v>
      </c>
      <c r="J450" s="38">
        <v>14</v>
      </c>
      <c r="K450" s="38">
        <f>(8-1-0.75*2)*0.65*60*F450</f>
        <v>3646.5</v>
      </c>
      <c r="L450" s="38">
        <v>0.47</v>
      </c>
      <c r="M450" s="38">
        <v>0.47</v>
      </c>
      <c r="N450" s="38">
        <v>10</v>
      </c>
      <c r="O450" s="38">
        <f>E450/F450</f>
        <v>0.11764705882352941</v>
      </c>
      <c r="P450" s="38">
        <v>180</v>
      </c>
      <c r="Q450" s="38">
        <v>90</v>
      </c>
      <c r="R450" s="275">
        <v>90</v>
      </c>
      <c r="S450" s="275">
        <v>0.09</v>
      </c>
      <c r="T450" s="38">
        <f>ROUND((L450*I450+1.3*L450*K450+S450*H450),4)</f>
        <v>3129.1844999999998</v>
      </c>
      <c r="U450" s="38">
        <f>ROUND((M450*I450+1.3*M450*K450+S450*H450),4)</f>
        <v>3129.1844999999998</v>
      </c>
      <c r="V450" s="38">
        <f>ROUND((M450*I450+1.3*M450*K450+S450*H450),4)</f>
        <v>3129.1844999999998</v>
      </c>
      <c r="W450" s="38">
        <f>ROUND((L450*J450+1.3*L450*N450+S450*G450),4)</f>
        <v>13.23</v>
      </c>
      <c r="X450" s="38">
        <f>ROUND((M450*J450+1.3*M450*N450+S450*G450),4)</f>
        <v>13.23</v>
      </c>
      <c r="Y450" s="38">
        <f>ROUND((M450*J450+1.3*M450*N450+S450*G450),4)</f>
        <v>13.23</v>
      </c>
      <c r="Z450" s="276">
        <f>ROUND((P450*T450*F450*O450/1000000),4)</f>
        <v>1.1265000000000001</v>
      </c>
      <c r="AA450" s="276">
        <f>ROUND((Q450*U450*F450*O450/1000000),4)</f>
        <v>0.56330000000000002</v>
      </c>
      <c r="AB450" s="276">
        <f>ROUND((R450*V450*F450*O450/1000000),4)</f>
        <v>0.56330000000000002</v>
      </c>
      <c r="AC450" s="277" t="s">
        <v>165</v>
      </c>
      <c r="AD450" s="278" t="s">
        <v>144</v>
      </c>
      <c r="AE450" s="40">
        <f>ROUND((((X450*E450)/1800)*0.8),4)</f>
        <v>1.18E-2</v>
      </c>
      <c r="AF450" s="40">
        <f>ROUND(((Z450+AA450+AB450)*0.8),4)</f>
        <v>1.8025</v>
      </c>
      <c r="AG450" s="288"/>
      <c r="AH450" s="288"/>
      <c r="AI450" s="288"/>
    </row>
    <row r="451" spans="1:35" s="61" customFormat="1" ht="15" customHeight="1" x14ac:dyDescent="0.25">
      <c r="A451" s="260"/>
      <c r="B451" s="280" t="s">
        <v>567</v>
      </c>
      <c r="C451" s="39"/>
      <c r="D451" s="39"/>
      <c r="E451" s="39"/>
      <c r="F451" s="39"/>
      <c r="G451" s="39"/>
      <c r="H451" s="39"/>
      <c r="I451" s="39"/>
      <c r="J451" s="39"/>
      <c r="K451" s="39"/>
      <c r="L451" s="119"/>
      <c r="M451" s="119"/>
      <c r="N451" s="39"/>
      <c r="O451" s="39"/>
      <c r="P451" s="39"/>
      <c r="Q451" s="39"/>
      <c r="R451" s="39"/>
      <c r="S451" s="281"/>
      <c r="T451" s="39"/>
      <c r="U451" s="39"/>
      <c r="V451" s="39"/>
      <c r="W451" s="39"/>
      <c r="X451" s="39"/>
      <c r="Y451" s="39"/>
      <c r="Z451" s="39"/>
      <c r="AA451" s="39"/>
      <c r="AB451" s="39"/>
      <c r="AC451" s="277" t="s">
        <v>166</v>
      </c>
      <c r="AD451" s="278" t="s">
        <v>167</v>
      </c>
      <c r="AE451" s="40">
        <f>ROUND((((X450*E450)/1800)*0.13),4)</f>
        <v>1.9E-3</v>
      </c>
      <c r="AF451" s="40">
        <f>ROUND(((Z450+AA450+AB450)*0.13),4)</f>
        <v>0.29289999999999999</v>
      </c>
      <c r="AG451" s="288"/>
      <c r="AH451" s="288"/>
      <c r="AI451" s="288"/>
    </row>
    <row r="452" spans="1:35" s="61" customFormat="1" ht="15" customHeight="1" x14ac:dyDescent="0.25">
      <c r="A452" s="260"/>
      <c r="B452" s="288"/>
      <c r="C452" s="283"/>
      <c r="D452" s="283"/>
      <c r="E452" s="39"/>
      <c r="F452" s="39"/>
      <c r="G452" s="39"/>
      <c r="H452" s="39"/>
      <c r="I452" s="39"/>
      <c r="J452" s="39"/>
      <c r="K452" s="39"/>
      <c r="L452" s="40">
        <v>0.8</v>
      </c>
      <c r="M452" s="40">
        <v>0.98</v>
      </c>
      <c r="N452" s="39"/>
      <c r="O452" s="39"/>
      <c r="P452" s="39"/>
      <c r="Q452" s="39"/>
      <c r="R452" s="39"/>
      <c r="S452" s="284">
        <v>1.7999999999999999E-2</v>
      </c>
      <c r="T452" s="38">
        <f>ROUND((L452*I450+1.3*L452*K450+S452*H450),4)</f>
        <v>5318.16</v>
      </c>
      <c r="U452" s="38">
        <f>ROUND((M452*0.9*I450+1.3*M452*0.9*K450+S452*H450),4)</f>
        <v>5863.1607000000004</v>
      </c>
      <c r="V452" s="38">
        <f>ROUND((M452*I450+1.3*M452*K450+S452*H450),4)</f>
        <v>6514.5029999999997</v>
      </c>
      <c r="W452" s="38">
        <f>ROUND((L452*J450+1.3*L452*N450+S452*G450),4)</f>
        <v>21.707999999999998</v>
      </c>
      <c r="X452" s="38">
        <f>ROUND((M452*0.9*J450+1.3*M452*0.9*N450+S452*G450),4)</f>
        <v>23.922000000000001</v>
      </c>
      <c r="Y452" s="38">
        <f>ROUND((M452*J450+1.3*M452*N450+S452*G450),4)</f>
        <v>26.568000000000001</v>
      </c>
      <c r="Z452" s="276">
        <f>ROUND((P450*T452*F450*O450/1000000),4)</f>
        <v>1.9145000000000001</v>
      </c>
      <c r="AA452" s="276">
        <f>ROUND((Q450*U452*F450*O450/1000000),4)</f>
        <v>1.0553999999999999</v>
      </c>
      <c r="AB452" s="276">
        <f>ROUND((R450*V452*F450*O450/1000000),4)</f>
        <v>1.1726000000000001</v>
      </c>
      <c r="AC452" s="277" t="s">
        <v>547</v>
      </c>
      <c r="AD452" s="278" t="s">
        <v>169</v>
      </c>
      <c r="AE452" s="40">
        <f>ROUND((((X452*E450)/1800)),4)</f>
        <v>2.6599999999999999E-2</v>
      </c>
      <c r="AF452" s="40">
        <f>ROUND(((Z452+AA452+AB452)),5)</f>
        <v>4.1425000000000001</v>
      </c>
      <c r="AG452" s="288"/>
      <c r="AH452" s="288"/>
      <c r="AI452" s="288"/>
    </row>
    <row r="453" spans="1:35" s="61" customFormat="1" ht="15" customHeight="1" x14ac:dyDescent="0.25">
      <c r="A453" s="260"/>
      <c r="B453" s="288"/>
      <c r="C453" s="39"/>
      <c r="D453" s="39"/>
      <c r="E453" s="39"/>
      <c r="F453" s="39"/>
      <c r="G453" s="39"/>
      <c r="H453" s="39"/>
      <c r="I453" s="39"/>
      <c r="J453" s="39"/>
      <c r="K453" s="39"/>
      <c r="L453" s="40">
        <v>0.08</v>
      </c>
      <c r="M453" s="40">
        <v>0.1</v>
      </c>
      <c r="N453" s="39"/>
      <c r="O453" s="39"/>
      <c r="P453" s="39"/>
      <c r="Q453" s="39"/>
      <c r="R453" s="39"/>
      <c r="S453" s="285">
        <v>0.06</v>
      </c>
      <c r="T453" s="38">
        <f>ROUND((L453*I450+1.3*L453*K450+S453*H450),4)</f>
        <v>535.30799999999999</v>
      </c>
      <c r="U453" s="38">
        <f>ROUND((M453*0.9*I450+1.3*M453*0.9*K450+S453*H450),4)</f>
        <v>601.77149999999995</v>
      </c>
      <c r="V453" s="38">
        <f>ROUND((M453*I450+1.3*M453*K450+S453*H450),4)</f>
        <v>668.23500000000001</v>
      </c>
      <c r="W453" s="38">
        <f>ROUND((L453*J450+1.3*L453*N450+S453*G450),4)</f>
        <v>2.52</v>
      </c>
      <c r="X453" s="38">
        <f>ROUND((M453*0.9*J450+1.3*M453*0.9*N450+S453*G450),4)</f>
        <v>2.79</v>
      </c>
      <c r="Y453" s="38">
        <f>ROUND((M453*J450+1.3*N450+S453*G450),4)</f>
        <v>14.76</v>
      </c>
      <c r="Z453" s="276">
        <f>ROUND((P450*T453*F450*O450/1000000),4)</f>
        <v>0.19270000000000001</v>
      </c>
      <c r="AA453" s="276">
        <f>ROUND((Q450*U453*F450*O450/1000000),4)</f>
        <v>0.10829999999999999</v>
      </c>
      <c r="AB453" s="276">
        <f>ROUND((R450*V453*F450*O450/1000000),4)</f>
        <v>0.1203</v>
      </c>
      <c r="AC453" s="277" t="s">
        <v>548</v>
      </c>
      <c r="AD453" s="278" t="s">
        <v>549</v>
      </c>
      <c r="AE453" s="40">
        <f>ROUND((((X453*E450)/1800)),4)</f>
        <v>3.0999999999999999E-3</v>
      </c>
      <c r="AF453" s="40">
        <f>ROUND(((Z453+AA453+AB453)),4)</f>
        <v>0.42130000000000001</v>
      </c>
      <c r="AG453" s="288"/>
      <c r="AH453" s="288"/>
      <c r="AI453" s="288"/>
    </row>
    <row r="454" spans="1:35" s="61" customFormat="1" ht="15" customHeight="1" x14ac:dyDescent="0.25">
      <c r="A454" s="260"/>
      <c r="B454" s="280"/>
      <c r="C454" s="39"/>
      <c r="D454" s="39"/>
      <c r="E454" s="39"/>
      <c r="F454" s="39"/>
      <c r="G454" s="39"/>
      <c r="H454" s="39"/>
      <c r="I454" s="39"/>
      <c r="J454" s="39"/>
      <c r="K454" s="39"/>
      <c r="L454" s="40">
        <v>0.05</v>
      </c>
      <c r="M454" s="40">
        <v>7.0000000000000007E-2</v>
      </c>
      <c r="N454" s="39"/>
      <c r="O454" s="39"/>
      <c r="P454" s="39"/>
      <c r="Q454" s="39"/>
      <c r="R454" s="39"/>
      <c r="S454" s="285">
        <v>0.01</v>
      </c>
      <c r="T454" s="38">
        <f>ROUND((L454*I450+1.3*L454*K450+S454*H450),4)</f>
        <v>332.91750000000002</v>
      </c>
      <c r="U454" s="38">
        <f>ROUND((M454*0.9*I450+1.3*M454*0.9*K450+S454*H450),4)</f>
        <v>419.32010000000002</v>
      </c>
      <c r="V454" s="38">
        <f>ROUND((M454*I450+1.3*M454*K450+S454*H450),4)</f>
        <v>465.84449999999998</v>
      </c>
      <c r="W454" s="38">
        <f>ROUND((L454*J450+1.3*L454*N450+S454*G450),4)</f>
        <v>1.41</v>
      </c>
      <c r="X454" s="38">
        <f>ROUND((M454*0.9*J450+1.3*M454*0.9*N450+S454*G450),4)</f>
        <v>1.7609999999999999</v>
      </c>
      <c r="Y454" s="38">
        <f>ROUND((M454*J450+1.3*M454*N450+S454*G450),4)</f>
        <v>1.95</v>
      </c>
      <c r="Z454" s="276">
        <f>ROUND((P450*T454*F450*O450/1000000),4)</f>
        <v>0.11990000000000001</v>
      </c>
      <c r="AA454" s="276">
        <f>ROUND((Q450*U454*F450*O450/1000000),4)</f>
        <v>7.5499999999999998E-2</v>
      </c>
      <c r="AB454" s="276">
        <f>ROUND((R450*V454*F450*O450/1000000),4)</f>
        <v>8.3900000000000002E-2</v>
      </c>
      <c r="AC454" s="277" t="s">
        <v>172</v>
      </c>
      <c r="AD454" s="278" t="s">
        <v>173</v>
      </c>
      <c r="AE454" s="40">
        <f>ROUND((((X454*E450)/1800)),4)</f>
        <v>2E-3</v>
      </c>
      <c r="AF454" s="40">
        <f>ROUND(((Z454+AA454+AB454)),4)</f>
        <v>0.27929999999999999</v>
      </c>
      <c r="AG454" s="288"/>
      <c r="AH454" s="288"/>
      <c r="AI454" s="288"/>
    </row>
    <row r="455" spans="1:35" s="61" customFormat="1" ht="15" customHeight="1" x14ac:dyDescent="0.25">
      <c r="A455" s="260"/>
      <c r="B455" s="286"/>
      <c r="C455" s="119"/>
      <c r="D455" s="119"/>
      <c r="E455" s="119"/>
      <c r="F455" s="119"/>
      <c r="G455" s="119"/>
      <c r="H455" s="119"/>
      <c r="I455" s="119"/>
      <c r="J455" s="119"/>
      <c r="K455" s="119"/>
      <c r="L455" s="40">
        <v>3.5999999999999997E-2</v>
      </c>
      <c r="M455" s="40">
        <v>4.3999999999999997E-2</v>
      </c>
      <c r="N455" s="119"/>
      <c r="O455" s="119"/>
      <c r="P455" s="119"/>
      <c r="Q455" s="119"/>
      <c r="R455" s="119"/>
      <c r="S455" s="285">
        <v>0.45</v>
      </c>
      <c r="T455" s="38">
        <f>ROUND((L455*I450+1.3*L455*K450+S455*H450),4)</f>
        <v>266.26859999999999</v>
      </c>
      <c r="U455" s="38">
        <f>ROUND((M455*0.9*I450+1.3*M455*0.9*K450+S455*H450),4)</f>
        <v>290.19549999999998</v>
      </c>
      <c r="V455" s="38">
        <f>ROUND((M455*I450+1.3*M455*K450+S455*H450),4)</f>
        <v>319.43939999999998</v>
      </c>
      <c r="W455" s="38">
        <f>ROUND((L455*J450+1.3*L455*N450+S455*G450),4)</f>
        <v>3.6720000000000002</v>
      </c>
      <c r="X455" s="38">
        <f>ROUND((M455*0.9*J450+1.3*M455*0.9*N450+S455*G450),4)</f>
        <v>3.7692000000000001</v>
      </c>
      <c r="Y455" s="38">
        <f>ROUND((M455*J450+1.3*M455*N450+S455*G450),4)</f>
        <v>3.8879999999999999</v>
      </c>
      <c r="Z455" s="276">
        <f>ROUND((P450*T455*F450*O450/1000000),4)</f>
        <v>9.5899999999999999E-2</v>
      </c>
      <c r="AA455" s="276">
        <f>ROUND((Q450*U455*F450*O450/1000000),4)</f>
        <v>5.2200000000000003E-2</v>
      </c>
      <c r="AB455" s="276">
        <f>ROUND((R450*V455*F450*O450/1000000),4)</f>
        <v>5.7500000000000002E-2</v>
      </c>
      <c r="AC455" s="277" t="s">
        <v>157</v>
      </c>
      <c r="AD455" s="278" t="s">
        <v>153</v>
      </c>
      <c r="AE455" s="40">
        <f>ROUND((((X455*E450)/1800)),4)</f>
        <v>4.1999999999999997E-3</v>
      </c>
      <c r="AF455" s="40">
        <f>ROUND(((Z455+AA455+AB455)),4)</f>
        <v>0.2056</v>
      </c>
      <c r="AG455" s="288"/>
      <c r="AH455" s="288"/>
      <c r="AI455" s="288"/>
    </row>
    <row r="456" spans="1:35" s="61" customFormat="1" ht="15" customHeight="1" x14ac:dyDescent="0.25">
      <c r="A456" s="260"/>
      <c r="B456" s="287" t="s">
        <v>595</v>
      </c>
      <c r="C456" s="38">
        <v>7</v>
      </c>
      <c r="D456" s="38" t="s">
        <v>560</v>
      </c>
      <c r="E456" s="38">
        <v>1</v>
      </c>
      <c r="F456" s="38">
        <v>1</v>
      </c>
      <c r="G456" s="38">
        <v>6</v>
      </c>
      <c r="H456" s="38">
        <v>60</v>
      </c>
      <c r="I456" s="38">
        <f>(8-1-0.75*2)*60*F456-K456-8*0.12*60</f>
        <v>57.900000000000006</v>
      </c>
      <c r="J456" s="38">
        <v>14</v>
      </c>
      <c r="K456" s="38">
        <f>(8-1-0.75*2)*0.65*60*F456</f>
        <v>214.5</v>
      </c>
      <c r="L456" s="38">
        <v>10.16</v>
      </c>
      <c r="M456" s="38">
        <v>10.16</v>
      </c>
      <c r="N456" s="38">
        <v>10</v>
      </c>
      <c r="O456" s="38">
        <f>E456/F456</f>
        <v>1</v>
      </c>
      <c r="P456" s="38">
        <v>180</v>
      </c>
      <c r="Q456" s="38">
        <v>90</v>
      </c>
      <c r="R456" s="275">
        <v>90</v>
      </c>
      <c r="S456" s="275">
        <v>1.99</v>
      </c>
      <c r="T456" s="38">
        <f>ROUND((L456*I456+1.3*L456*K456+S456*H456),4)</f>
        <v>3540.78</v>
      </c>
      <c r="U456" s="38">
        <f>ROUND((M456*I456+1.3*M456*K456+S456*H456),4)</f>
        <v>3540.78</v>
      </c>
      <c r="V456" s="38">
        <f>ROUND((M456*I456+1.3*M456*K456+S456*H456),4)</f>
        <v>3540.78</v>
      </c>
      <c r="W456" s="38">
        <f>ROUND((L456*J456+1.3*L456*N456+S456*G456),4)</f>
        <v>286.26</v>
      </c>
      <c r="X456" s="38">
        <f>ROUND((M456*J456+1.3*M456*N456+S456*G456),4)</f>
        <v>286.26</v>
      </c>
      <c r="Y456" s="38">
        <f>ROUND((M456*J456+1.3*M456*N456+S456*G456),4)</f>
        <v>286.26</v>
      </c>
      <c r="Z456" s="276">
        <f>ROUND((P456*T456*F456*O456/1000000),4)</f>
        <v>0.63729999999999998</v>
      </c>
      <c r="AA456" s="276">
        <f>ROUND((Q456*U456*F456*O456/1000000),4)</f>
        <v>0.31869999999999998</v>
      </c>
      <c r="AB456" s="276">
        <f>ROUND((R456*V456*F456*O456/1000000),4)</f>
        <v>0.31869999999999998</v>
      </c>
      <c r="AC456" s="277" t="s">
        <v>165</v>
      </c>
      <c r="AD456" s="278" t="s">
        <v>144</v>
      </c>
      <c r="AE456" s="40">
        <f>ROUND((((X456*E456)/1800)*0.8),4)</f>
        <v>0.12720000000000001</v>
      </c>
      <c r="AF456" s="40">
        <f>ROUND(((Z456+AA456+AB456)*0.8),4)</f>
        <v>1.0198</v>
      </c>
      <c r="AG456" s="288"/>
      <c r="AH456" s="288"/>
    </row>
    <row r="457" spans="1:35" s="61" customFormat="1" ht="15" customHeight="1" x14ac:dyDescent="0.25">
      <c r="A457" s="260"/>
      <c r="B457" s="280" t="s">
        <v>596</v>
      </c>
      <c r="C457" s="39"/>
      <c r="D457" s="39"/>
      <c r="E457" s="39"/>
      <c r="F457" s="39"/>
      <c r="G457" s="39"/>
      <c r="H457" s="39"/>
      <c r="I457" s="39"/>
      <c r="J457" s="39"/>
      <c r="K457" s="39"/>
      <c r="L457" s="119"/>
      <c r="M457" s="119"/>
      <c r="N457" s="39"/>
      <c r="O457" s="39"/>
      <c r="P457" s="39"/>
      <c r="Q457" s="39"/>
      <c r="R457" s="39"/>
      <c r="S457" s="281"/>
      <c r="T457" s="39"/>
      <c r="U457" s="39"/>
      <c r="V457" s="39"/>
      <c r="W457" s="39"/>
      <c r="X457" s="39"/>
      <c r="Y457" s="39"/>
      <c r="Z457" s="39"/>
      <c r="AA457" s="39"/>
      <c r="AB457" s="39"/>
      <c r="AC457" s="277" t="s">
        <v>166</v>
      </c>
      <c r="AD457" s="278" t="s">
        <v>167</v>
      </c>
      <c r="AE457" s="40">
        <f>ROUND((((X456*E456)/1800)*0.13),4)</f>
        <v>2.07E-2</v>
      </c>
      <c r="AF457" s="40">
        <f>ROUND(((Z456+AA456+AB456)*0.13),4)</f>
        <v>0.16569999999999999</v>
      </c>
      <c r="AG457" s="288"/>
      <c r="AH457" s="288"/>
    </row>
    <row r="458" spans="1:35" s="61" customFormat="1" ht="15" customHeight="1" x14ac:dyDescent="0.25">
      <c r="A458" s="260"/>
      <c r="B458" s="288"/>
      <c r="C458" s="283"/>
      <c r="D458" s="283"/>
      <c r="E458" s="39"/>
      <c r="F458" s="39"/>
      <c r="G458" s="39"/>
      <c r="H458" s="39"/>
      <c r="I458" s="39"/>
      <c r="J458" s="39"/>
      <c r="K458" s="39"/>
      <c r="L458" s="40">
        <v>0.8</v>
      </c>
      <c r="M458" s="40">
        <v>0.98</v>
      </c>
      <c r="N458" s="39"/>
      <c r="O458" s="39"/>
      <c r="P458" s="39"/>
      <c r="Q458" s="39"/>
      <c r="R458" s="39"/>
      <c r="S458" s="284">
        <v>0.39</v>
      </c>
      <c r="T458" s="38">
        <f>ROUND((L458*I456+1.3*L458*K456+S458*H456),4)</f>
        <v>292.8</v>
      </c>
      <c r="U458" s="38">
        <f>ROUND((M458*0.9*I456+1.3*M458*0.9*K456+S458*H456),4)</f>
        <v>320.4135</v>
      </c>
      <c r="V458" s="38">
        <f>ROUND((M458*I456+1.3*M458*K456+S458*H456),4)</f>
        <v>353.41500000000002</v>
      </c>
      <c r="W458" s="38">
        <f>ROUND((L458*J456+1.3*L458*N456+S458*G456),4)</f>
        <v>23.94</v>
      </c>
      <c r="X458" s="38">
        <f>ROUND((M458*0.9*J456+1.3*M458*0.9*N456+S458*G456),4)</f>
        <v>26.154</v>
      </c>
      <c r="Y458" s="38">
        <f>ROUND((M458*J456+1.3*M458*N456+S458*G456),4)</f>
        <v>28.8</v>
      </c>
      <c r="Z458" s="276">
        <f>ROUND((P456*T458*F456*O456/1000000),4)</f>
        <v>5.2699999999999997E-2</v>
      </c>
      <c r="AA458" s="276">
        <f>ROUND((Q456*U458*F456*O456/1000000),4)</f>
        <v>2.8799999999999999E-2</v>
      </c>
      <c r="AB458" s="276">
        <f>ROUND((R456*V458*F456*O456/1000000),4)</f>
        <v>3.1800000000000002E-2</v>
      </c>
      <c r="AC458" s="277" t="s">
        <v>547</v>
      </c>
      <c r="AD458" s="278" t="s">
        <v>169</v>
      </c>
      <c r="AE458" s="40">
        <f>ROUND((((X458*E456)/1800)),4)</f>
        <v>1.4500000000000001E-2</v>
      </c>
      <c r="AF458" s="40">
        <f>ROUND(((Z458+AA458+AB458)),5)</f>
        <v>0.1133</v>
      </c>
      <c r="AG458" s="288"/>
      <c r="AH458" s="288"/>
    </row>
    <row r="459" spans="1:35" s="61" customFormat="1" ht="15" customHeight="1" x14ac:dyDescent="0.25">
      <c r="A459" s="260"/>
      <c r="B459" s="288"/>
      <c r="C459" s="39"/>
      <c r="D459" s="39"/>
      <c r="E459" s="39"/>
      <c r="F459" s="39"/>
      <c r="G459" s="39"/>
      <c r="H459" s="39"/>
      <c r="I459" s="39"/>
      <c r="J459" s="39"/>
      <c r="K459" s="39"/>
      <c r="L459" s="40">
        <v>1.79</v>
      </c>
      <c r="M459" s="40">
        <v>2.15</v>
      </c>
      <c r="N459" s="39"/>
      <c r="O459" s="39"/>
      <c r="P459" s="39"/>
      <c r="Q459" s="39"/>
      <c r="R459" s="39"/>
      <c r="S459" s="285">
        <v>1.24</v>
      </c>
      <c r="T459" s="38">
        <f>ROUND((L459*I456+1.3*L459*K456+S459*H456),4)</f>
        <v>677.1825</v>
      </c>
      <c r="U459" s="38">
        <f>ROUND((M459*0.9*I456+1.3*M459*0.9*K456+S459*H456),4)</f>
        <v>726.01130000000001</v>
      </c>
      <c r="V459" s="38">
        <f>ROUND((M459*I456+1.3*M459*K456+S459*H456),4)</f>
        <v>798.41250000000002</v>
      </c>
      <c r="W459" s="38">
        <f>ROUND((L459*J456+1.3*L459*N456+S459*G456),4)</f>
        <v>55.77</v>
      </c>
      <c r="X459" s="38">
        <f>ROUND((M459*0.9*J456+1.3*M459*0.9*N456+S459*G456),4)</f>
        <v>59.685000000000002</v>
      </c>
      <c r="Y459" s="38">
        <f>ROUND((M459*J456+1.3*N456+S459*G456),4)</f>
        <v>50.54</v>
      </c>
      <c r="Z459" s="276">
        <f>ROUND((P456*T459*F456*O456/1000000),4)</f>
        <v>0.12189999999999999</v>
      </c>
      <c r="AA459" s="276">
        <f>ROUND((Q456*U459*F456*O456/1000000),4)</f>
        <v>6.5299999999999997E-2</v>
      </c>
      <c r="AB459" s="276">
        <f>ROUND((R456*V459*F456*O456/1000000),4)</f>
        <v>7.1900000000000006E-2</v>
      </c>
      <c r="AC459" s="277" t="s">
        <v>548</v>
      </c>
      <c r="AD459" s="278" t="s">
        <v>549</v>
      </c>
      <c r="AE459" s="40">
        <f>ROUND((((X459*E456)/1800)),4)</f>
        <v>3.32E-2</v>
      </c>
      <c r="AF459" s="40">
        <f>ROUND(((Z459+AA459+AB459)),4)</f>
        <v>0.2591</v>
      </c>
      <c r="AG459" s="288"/>
      <c r="AH459" s="288"/>
    </row>
    <row r="460" spans="1:35" s="61" customFormat="1" ht="15" customHeight="1" x14ac:dyDescent="0.25">
      <c r="A460" s="260"/>
      <c r="B460" s="280"/>
      <c r="C460" s="39"/>
      <c r="D460" s="39"/>
      <c r="E460" s="39"/>
      <c r="F460" s="39"/>
      <c r="G460" s="39"/>
      <c r="H460" s="39"/>
      <c r="I460" s="39"/>
      <c r="J460" s="39"/>
      <c r="K460" s="39"/>
      <c r="L460" s="40">
        <v>1.1299999999999999</v>
      </c>
      <c r="M460" s="40">
        <v>1.7</v>
      </c>
      <c r="N460" s="39"/>
      <c r="O460" s="39"/>
      <c r="P460" s="39"/>
      <c r="Q460" s="39"/>
      <c r="R460" s="39"/>
      <c r="S460" s="285">
        <v>0.26</v>
      </c>
      <c r="T460" s="38">
        <f>ROUND((L460*I456+1.3*L460*K456+S460*H456),4)</f>
        <v>396.1275</v>
      </c>
      <c r="U460" s="38">
        <f>ROUND((M460*0.9*I456+1.3*M460*0.9*K456+S460*H456),4)</f>
        <v>530.82749999999999</v>
      </c>
      <c r="V460" s="38">
        <f>ROUND((M460*I456+1.3*M460*K456+S460*H456),4)</f>
        <v>588.07500000000005</v>
      </c>
      <c r="W460" s="38">
        <f>ROUND((L460*J456+1.3*L460*N456+S460*G456),4)</f>
        <v>32.07</v>
      </c>
      <c r="X460" s="38">
        <f>ROUND((M460*0.9*J456+1.3*M460*0.9*N456+S460*G456),4)</f>
        <v>42.87</v>
      </c>
      <c r="Y460" s="38">
        <f>ROUND((M460*J456+1.3*M460*N456+S460*G456),4)</f>
        <v>47.46</v>
      </c>
      <c r="Z460" s="276">
        <f>ROUND((P456*T460*F456*O456/1000000),4)</f>
        <v>7.1300000000000002E-2</v>
      </c>
      <c r="AA460" s="276">
        <f>ROUND((Q456*U460*F456*O456/1000000),4)</f>
        <v>4.7800000000000002E-2</v>
      </c>
      <c r="AB460" s="276">
        <f>ROUND((R456*V460*F456*O456/1000000),4)</f>
        <v>5.2900000000000003E-2</v>
      </c>
      <c r="AC460" s="277" t="s">
        <v>172</v>
      </c>
      <c r="AD460" s="278" t="s">
        <v>173</v>
      </c>
      <c r="AE460" s="40">
        <f>ROUND((((X460*E456)/1800)),4)</f>
        <v>2.3800000000000002E-2</v>
      </c>
      <c r="AF460" s="40">
        <f>ROUND(((Z460+AA460+AB460)),4)</f>
        <v>0.17199999999999999</v>
      </c>
      <c r="AG460" s="288"/>
      <c r="AH460" s="288"/>
    </row>
    <row r="461" spans="1:35" s="61" customFormat="1" ht="15" customHeight="1" x14ac:dyDescent="0.25">
      <c r="A461" s="260"/>
      <c r="B461" s="286"/>
      <c r="C461" s="119"/>
      <c r="D461" s="119"/>
      <c r="E461" s="119"/>
      <c r="F461" s="119"/>
      <c r="G461" s="119"/>
      <c r="H461" s="119"/>
      <c r="I461" s="119"/>
      <c r="J461" s="119"/>
      <c r="K461" s="119"/>
      <c r="L461" s="40">
        <v>5.3</v>
      </c>
      <c r="M461" s="40">
        <v>6.47</v>
      </c>
      <c r="N461" s="119"/>
      <c r="O461" s="119"/>
      <c r="P461" s="119"/>
      <c r="Q461" s="119"/>
      <c r="R461" s="119"/>
      <c r="S461" s="285">
        <v>9.92</v>
      </c>
      <c r="T461" s="38">
        <f>ROUND((L461*I456+1.3*L461*K456+S461*H456),4)</f>
        <v>2379.9749999999999</v>
      </c>
      <c r="U461" s="38">
        <f>ROUND((M461*0.9*I456+1.3*M461*0.9*K456+S461*H456),4)</f>
        <v>2556.0953</v>
      </c>
      <c r="V461" s="38">
        <f>ROUND((M461*I456+1.3*M461*K456+S461*H456),4)</f>
        <v>2773.9724999999999</v>
      </c>
      <c r="W461" s="38">
        <f>ROUND((L461*J456+1.3*L461*N456+S461*G456),4)</f>
        <v>202.62</v>
      </c>
      <c r="X461" s="38">
        <f>ROUND((M461*0.9*J456+1.3*M461*0.9*N456+S461*G456),4)</f>
        <v>216.74100000000001</v>
      </c>
      <c r="Y461" s="38">
        <f>ROUND((M461*J456+1.3*M461*N456+S461*G456),4)</f>
        <v>234.21</v>
      </c>
      <c r="Z461" s="276">
        <f>ROUND((P456*T461*F456*O456/1000000),4)</f>
        <v>0.4284</v>
      </c>
      <c r="AA461" s="276">
        <f>ROUND((Q456*U461*F456*O456/1000000),4)</f>
        <v>0.23</v>
      </c>
      <c r="AB461" s="276">
        <f>ROUND((R456*V461*F456*O456/1000000),4)</f>
        <v>0.24970000000000001</v>
      </c>
      <c r="AC461" s="277" t="s">
        <v>157</v>
      </c>
      <c r="AD461" s="278" t="s">
        <v>153</v>
      </c>
      <c r="AE461" s="40">
        <f>ROUND((((X461*E456)/1800)),4)</f>
        <v>0.12039999999999999</v>
      </c>
      <c r="AF461" s="40">
        <f>ROUND(((Z461+AA461+AB461)),4)</f>
        <v>0.90810000000000002</v>
      </c>
      <c r="AG461" s="288"/>
      <c r="AH461" s="288"/>
    </row>
    <row r="462" spans="1:35" s="61" customFormat="1" ht="15" customHeight="1" x14ac:dyDescent="0.25">
      <c r="A462" s="260"/>
      <c r="B462" s="1478" t="s">
        <v>597</v>
      </c>
      <c r="C462" s="274">
        <v>5</v>
      </c>
      <c r="D462" s="38" t="s">
        <v>552</v>
      </c>
      <c r="E462" s="38">
        <v>1</v>
      </c>
      <c r="F462" s="38">
        <v>1</v>
      </c>
      <c r="G462" s="38">
        <v>6</v>
      </c>
      <c r="H462" s="38">
        <v>60</v>
      </c>
      <c r="I462" s="38">
        <f>(8-1-0.75*2)*60*F462-K462-8*0.12*60</f>
        <v>57.900000000000006</v>
      </c>
      <c r="J462" s="38">
        <v>14</v>
      </c>
      <c r="K462" s="38">
        <f>(8-1-0.75*2)*0.65*60*F462</f>
        <v>214.5</v>
      </c>
      <c r="L462" s="38">
        <v>4.01</v>
      </c>
      <c r="M462" s="38">
        <v>4.01</v>
      </c>
      <c r="N462" s="38">
        <v>10</v>
      </c>
      <c r="O462" s="38">
        <f>E462/F462</f>
        <v>1</v>
      </c>
      <c r="P462" s="38">
        <v>180</v>
      </c>
      <c r="Q462" s="38">
        <v>90</v>
      </c>
      <c r="R462" s="275">
        <v>90</v>
      </c>
      <c r="S462" s="275">
        <v>0.78</v>
      </c>
      <c r="T462" s="38">
        <f>ROUND((L462*I462+1.3*L462*K462+S462*H462),4)</f>
        <v>1397.1675</v>
      </c>
      <c r="U462" s="38">
        <f>ROUND((M462*I462+1.3*M462*K462+S462*H462),4)</f>
        <v>1397.1675</v>
      </c>
      <c r="V462" s="38">
        <f>ROUND((M462*I462+1.3*M462*K462+S462*H462),4)</f>
        <v>1397.1675</v>
      </c>
      <c r="W462" s="38">
        <f>ROUND((L462*J462+1.3*L462*N462+S462*G462),4)</f>
        <v>112.95</v>
      </c>
      <c r="X462" s="38">
        <f>ROUND((M462*J462+1.3*M462*N462+S462*G462),4)</f>
        <v>112.95</v>
      </c>
      <c r="Y462" s="38">
        <f>ROUND((M462*J462+1.3*M462*N462+S462*G462),4)</f>
        <v>112.95</v>
      </c>
      <c r="Z462" s="276">
        <f>ROUND((P462*T462*F462*O462/1000000),4)</f>
        <v>0.2515</v>
      </c>
      <c r="AA462" s="276">
        <f>ROUND((Q462*U462*F462*O462/1000000),4)</f>
        <v>0.12570000000000001</v>
      </c>
      <c r="AB462" s="276">
        <f>ROUND((R462*V462*F462*O462/1000000),4)</f>
        <v>0.12570000000000001</v>
      </c>
      <c r="AC462" s="277" t="s">
        <v>165</v>
      </c>
      <c r="AD462" s="278" t="s">
        <v>144</v>
      </c>
      <c r="AE462" s="40">
        <f>ROUND((((X462*E462)/1800)*0.8),4)</f>
        <v>5.0200000000000002E-2</v>
      </c>
      <c r="AF462" s="40">
        <f>ROUND(((Z462+AA462+AB462)*0.8),4)</f>
        <v>0.40229999999999999</v>
      </c>
      <c r="AG462" s="254"/>
      <c r="AH462" s="254"/>
    </row>
    <row r="463" spans="1:35" s="61" customFormat="1" ht="15" customHeight="1" x14ac:dyDescent="0.25">
      <c r="A463" s="260"/>
      <c r="B463" s="1634"/>
      <c r="C463" s="280"/>
      <c r="D463" s="39"/>
      <c r="E463" s="39"/>
      <c r="F463" s="39"/>
      <c r="G463" s="39"/>
      <c r="H463" s="39"/>
      <c r="I463" s="39"/>
      <c r="J463" s="39"/>
      <c r="K463" s="39"/>
      <c r="L463" s="119"/>
      <c r="M463" s="119"/>
      <c r="N463" s="39"/>
      <c r="O463" s="39"/>
      <c r="P463" s="39"/>
      <c r="Q463" s="39"/>
      <c r="R463" s="39"/>
      <c r="S463" s="281"/>
      <c r="T463" s="39"/>
      <c r="U463" s="39"/>
      <c r="V463" s="39"/>
      <c r="W463" s="39"/>
      <c r="X463" s="39"/>
      <c r="Y463" s="39"/>
      <c r="Z463" s="39"/>
      <c r="AA463" s="39"/>
      <c r="AB463" s="39"/>
      <c r="AC463" s="277" t="s">
        <v>166</v>
      </c>
      <c r="AD463" s="278" t="s">
        <v>167</v>
      </c>
      <c r="AE463" s="40">
        <f>ROUND((((X462*E462)/1800)*0.13),4)</f>
        <v>8.2000000000000007E-3</v>
      </c>
      <c r="AF463" s="40">
        <f>ROUND(((Z462+AA462+AB462)*0.13),4)</f>
        <v>6.54E-2</v>
      </c>
      <c r="AG463" s="254"/>
      <c r="AH463" s="254"/>
    </row>
    <row r="464" spans="1:35" s="61" customFormat="1" ht="15" customHeight="1" x14ac:dyDescent="0.25">
      <c r="A464" s="260"/>
      <c r="B464" s="279" t="s">
        <v>598</v>
      </c>
      <c r="C464" s="282"/>
      <c r="D464" s="283"/>
      <c r="E464" s="39"/>
      <c r="F464" s="39"/>
      <c r="G464" s="39"/>
      <c r="H464" s="39"/>
      <c r="I464" s="39"/>
      <c r="J464" s="39"/>
      <c r="K464" s="39"/>
      <c r="L464" s="40">
        <v>0.31</v>
      </c>
      <c r="M464" s="40">
        <v>0.38</v>
      </c>
      <c r="N464" s="39"/>
      <c r="O464" s="39"/>
      <c r="P464" s="39"/>
      <c r="Q464" s="39"/>
      <c r="R464" s="39"/>
      <c r="S464" s="284">
        <v>0.16</v>
      </c>
      <c r="T464" s="38">
        <f>ROUND((L464*I462+1.3*L464*K462+S464*H462),4)</f>
        <v>113.99250000000001</v>
      </c>
      <c r="U464" s="38">
        <f>ROUND((M464*0.9*I462+1.3*M464*0.9*K462+S464*H462),4)</f>
        <v>124.7685</v>
      </c>
      <c r="V464" s="38">
        <f>ROUND((M464*I462+1.3*M464*K462+S464*H462),4)</f>
        <v>137.565</v>
      </c>
      <c r="W464" s="38">
        <f>ROUND((L464*J462+1.3*L464*N462+S464*G462),4)</f>
        <v>9.33</v>
      </c>
      <c r="X464" s="38">
        <f>ROUND((M464*0.9*J462+1.3*M464*0.9*N462+S464*G462),4)</f>
        <v>10.194000000000001</v>
      </c>
      <c r="Y464" s="38">
        <f>ROUND((M464*J462+1.3*M464*N462+S464*G462),4)</f>
        <v>11.22</v>
      </c>
      <c r="Z464" s="276">
        <f>ROUND((P462*T464*F462*O462/1000000),4)</f>
        <v>2.0500000000000001E-2</v>
      </c>
      <c r="AA464" s="276">
        <f>ROUND((Q462*U464*F462*O462/1000000),4)</f>
        <v>1.12E-2</v>
      </c>
      <c r="AB464" s="276">
        <f>ROUND((R462*V464*F462*O462/1000000),4)</f>
        <v>1.24E-2</v>
      </c>
      <c r="AC464" s="277" t="s">
        <v>547</v>
      </c>
      <c r="AD464" s="278" t="s">
        <v>169</v>
      </c>
      <c r="AE464" s="40">
        <f>ROUND((((X464*E462)/1800)),4)</f>
        <v>5.7000000000000002E-3</v>
      </c>
      <c r="AF464" s="40">
        <f>ROUND(((Z464+AA464+AB464)),5)</f>
        <v>4.41E-2</v>
      </c>
      <c r="AG464" s="254"/>
      <c r="AH464" s="254"/>
    </row>
    <row r="465" spans="1:34" s="61" customFormat="1" ht="15" customHeight="1" x14ac:dyDescent="0.25">
      <c r="A465" s="260"/>
      <c r="B465" s="280"/>
      <c r="C465" s="280"/>
      <c r="D465" s="39"/>
      <c r="E465" s="39"/>
      <c r="F465" s="39"/>
      <c r="G465" s="39"/>
      <c r="H465" s="39"/>
      <c r="I465" s="39"/>
      <c r="J465" s="39"/>
      <c r="K465" s="39"/>
      <c r="L465" s="40">
        <v>0.71</v>
      </c>
      <c r="M465" s="40">
        <v>0.85</v>
      </c>
      <c r="N465" s="39"/>
      <c r="O465" s="39"/>
      <c r="P465" s="39"/>
      <c r="Q465" s="39"/>
      <c r="R465" s="39"/>
      <c r="S465" s="285">
        <v>0.49</v>
      </c>
      <c r="T465" s="38">
        <f>ROUND((L465*I462+1.3*L465*K462+S465*H462),4)</f>
        <v>268.49250000000001</v>
      </c>
      <c r="U465" s="38">
        <f>ROUND((M465*0.9*I462+1.3*M465*0.9*K462+S465*H462),4)</f>
        <v>287.0138</v>
      </c>
      <c r="V465" s="38">
        <f>ROUND((M465*I462+1.3*M465*K462+S465*H462),4)</f>
        <v>315.63749999999999</v>
      </c>
      <c r="W465" s="38">
        <f>ROUND((L465*J462+1.3*L465*N462+S465*G462),4)</f>
        <v>22.11</v>
      </c>
      <c r="X465" s="38">
        <f>ROUND((M465*0.9*J462+1.3*M465*0.9*N462+S465*G462),4)</f>
        <v>23.594999999999999</v>
      </c>
      <c r="Y465" s="38">
        <f>ROUND((M465*J462+1.3*N462+S465*G462),4)</f>
        <v>27.84</v>
      </c>
      <c r="Z465" s="276">
        <f>ROUND((P462*T465*F462*O462/1000000),4)</f>
        <v>4.8300000000000003E-2</v>
      </c>
      <c r="AA465" s="276">
        <f>ROUND((Q462*U465*F462*O462/1000000),4)</f>
        <v>2.58E-2</v>
      </c>
      <c r="AB465" s="276">
        <f>ROUND((R462*V465*F462*O462/1000000),4)</f>
        <v>2.8400000000000002E-2</v>
      </c>
      <c r="AC465" s="277" t="s">
        <v>548</v>
      </c>
      <c r="AD465" s="278" t="s">
        <v>549</v>
      </c>
      <c r="AE465" s="40">
        <f>ROUND((((X465*E462)/1800)),4)</f>
        <v>1.3100000000000001E-2</v>
      </c>
      <c r="AF465" s="40">
        <f>ROUND(((Z465+AA465+AB465)),4)</f>
        <v>0.10249999999999999</v>
      </c>
      <c r="AG465" s="254"/>
      <c r="AH465" s="254"/>
    </row>
    <row r="466" spans="1:34" s="61" customFormat="1" ht="15" customHeight="1" x14ac:dyDescent="0.25">
      <c r="A466" s="260"/>
      <c r="B466" s="280"/>
      <c r="C466" s="280"/>
      <c r="D466" s="39"/>
      <c r="E466" s="39"/>
      <c r="F466" s="39"/>
      <c r="G466" s="39"/>
      <c r="H466" s="39"/>
      <c r="I466" s="39"/>
      <c r="J466" s="39"/>
      <c r="K466" s="39"/>
      <c r="L466" s="40">
        <v>0.45</v>
      </c>
      <c r="M466" s="40">
        <v>0.67</v>
      </c>
      <c r="N466" s="39"/>
      <c r="O466" s="39"/>
      <c r="P466" s="39"/>
      <c r="Q466" s="39"/>
      <c r="R466" s="39"/>
      <c r="S466" s="285">
        <v>0.1</v>
      </c>
      <c r="T466" s="38">
        <f>ROUND((L466*I462+1.3*L466*K462+S466*H462),4)</f>
        <v>157.53749999999999</v>
      </c>
      <c r="U466" s="38">
        <f>ROUND((M466*0.9*I462+1.3*M466*0.9*K462+S466*H462),4)</f>
        <v>209.06030000000001</v>
      </c>
      <c r="V466" s="38">
        <f>ROUND((M466*I462+1.3*M466*K462+S466*H462),4)</f>
        <v>231.6225</v>
      </c>
      <c r="W466" s="38">
        <f>ROUND((L466*J462+1.3*L466*N462+S466*G462),4)</f>
        <v>12.75</v>
      </c>
      <c r="X466" s="38">
        <f>ROUND((M466*0.9*J462+1.3*M466*0.9*N462+S466*G462),4)</f>
        <v>16.881</v>
      </c>
      <c r="Y466" s="38">
        <f>ROUND((M466*J462+1.3*M466*N462+S466*G462),4)</f>
        <v>18.690000000000001</v>
      </c>
      <c r="Z466" s="276">
        <f>ROUND((P462*T466*F462*O462/1000000),4)</f>
        <v>2.8400000000000002E-2</v>
      </c>
      <c r="AA466" s="276">
        <f>ROUND((Q462*U466*F462*O462/1000000),4)</f>
        <v>1.8800000000000001E-2</v>
      </c>
      <c r="AB466" s="276">
        <f>ROUND((R462*V466*F462*O462/1000000),4)</f>
        <v>2.0799999999999999E-2</v>
      </c>
      <c r="AC466" s="277" t="s">
        <v>172</v>
      </c>
      <c r="AD466" s="278" t="s">
        <v>173</v>
      </c>
      <c r="AE466" s="40">
        <f>ROUND((((X466*E462)/1800)),4)</f>
        <v>9.4000000000000004E-3</v>
      </c>
      <c r="AF466" s="40">
        <f>ROUND(((Z466+AA466+AB466)),4)</f>
        <v>6.8000000000000005E-2</v>
      </c>
      <c r="AG466" s="254"/>
      <c r="AH466" s="254"/>
    </row>
    <row r="467" spans="1:34" s="61" customFormat="1" ht="15" customHeight="1" x14ac:dyDescent="0.25">
      <c r="A467" s="260"/>
      <c r="B467" s="286"/>
      <c r="C467" s="286"/>
      <c r="D467" s="119"/>
      <c r="E467" s="119"/>
      <c r="F467" s="119"/>
      <c r="G467" s="119"/>
      <c r="H467" s="119"/>
      <c r="I467" s="119"/>
      <c r="J467" s="119"/>
      <c r="K467" s="119"/>
      <c r="L467" s="40">
        <v>2.09</v>
      </c>
      <c r="M467" s="40">
        <v>2.5499999999999998</v>
      </c>
      <c r="N467" s="119"/>
      <c r="O467" s="119"/>
      <c r="P467" s="119"/>
      <c r="Q467" s="119"/>
      <c r="R467" s="119"/>
      <c r="S467" s="285">
        <v>3.91</v>
      </c>
      <c r="T467" s="38">
        <f>ROUND((L467*I462+1.3*L467*K462+S467*H462),4)</f>
        <v>938.40750000000003</v>
      </c>
      <c r="U467" s="38">
        <f>ROUND((M467*0.9*I462+1.3*M467*0.9*K462+S467*H462),4)</f>
        <v>1007.4413</v>
      </c>
      <c r="V467" s="38">
        <f>ROUND((M467*I462+1.3*M467*K462+S467*H462),4)</f>
        <v>1093.3125</v>
      </c>
      <c r="W467" s="38">
        <f>ROUND((L467*J462+1.3*L467*N462+S467*G462),4)</f>
        <v>79.89</v>
      </c>
      <c r="X467" s="38">
        <f>ROUND((M467*0.9*J462+1.3*M467*0.9*N462+S467*G462),4)</f>
        <v>85.424999999999997</v>
      </c>
      <c r="Y467" s="38">
        <f>ROUND((M467*J462+1.3*M467*N462+S467*G462),4)</f>
        <v>92.31</v>
      </c>
      <c r="Z467" s="276">
        <f>ROUND((P462*T467*F462*O462/1000000),4)</f>
        <v>0.16889999999999999</v>
      </c>
      <c r="AA467" s="276">
        <f>ROUND((Q462*U467*F462*O462/1000000),4)</f>
        <v>9.0700000000000003E-2</v>
      </c>
      <c r="AB467" s="276">
        <f>ROUND((R462*V467*F462*O462/1000000),4)</f>
        <v>9.8400000000000001E-2</v>
      </c>
      <c r="AC467" s="277" t="s">
        <v>157</v>
      </c>
      <c r="AD467" s="278" t="s">
        <v>153</v>
      </c>
      <c r="AE467" s="40">
        <f>ROUND((((X467*E462)/1800)),4)</f>
        <v>4.7500000000000001E-2</v>
      </c>
      <c r="AF467" s="40">
        <f>ROUND(((Z467+AA467+AB467)),4)</f>
        <v>0.35799999999999998</v>
      </c>
      <c r="AG467" s="254"/>
      <c r="AH467" s="254"/>
    </row>
    <row r="468" spans="1:34" s="61" customFormat="1" ht="15" customHeight="1" x14ac:dyDescent="0.25">
      <c r="A468" s="260"/>
      <c r="B468" s="274" t="s">
        <v>599</v>
      </c>
      <c r="C468" s="274">
        <v>5</v>
      </c>
      <c r="D468" s="38" t="s">
        <v>552</v>
      </c>
      <c r="E468" s="38">
        <v>1</v>
      </c>
      <c r="F468" s="38">
        <v>1</v>
      </c>
      <c r="G468" s="38">
        <v>6</v>
      </c>
      <c r="H468" s="38">
        <v>60</v>
      </c>
      <c r="I468" s="38">
        <f>(8-1-0.75*2)*60*F468-K468-8*0.12*60</f>
        <v>57.900000000000006</v>
      </c>
      <c r="J468" s="38">
        <v>14</v>
      </c>
      <c r="K468" s="38">
        <f>(8-1-0.75*2)*0.65*60*F468</f>
        <v>214.5</v>
      </c>
      <c r="L468" s="38">
        <v>4.01</v>
      </c>
      <c r="M468" s="38">
        <v>4.01</v>
      </c>
      <c r="N468" s="38">
        <v>10</v>
      </c>
      <c r="O468" s="38">
        <f>E468/F468</f>
        <v>1</v>
      </c>
      <c r="P468" s="38">
        <v>180</v>
      </c>
      <c r="Q468" s="38">
        <v>90</v>
      </c>
      <c r="R468" s="275">
        <v>90</v>
      </c>
      <c r="S468" s="275">
        <v>0.78</v>
      </c>
      <c r="T468" s="38">
        <f>ROUND((L468*I468+1.3*L468*K468+S468*H468),4)</f>
        <v>1397.1675</v>
      </c>
      <c r="U468" s="38">
        <f>ROUND((M468*I468+1.3*M468*K468+S468*H468),4)</f>
        <v>1397.1675</v>
      </c>
      <c r="V468" s="38">
        <f>ROUND((M468*I468+1.3*M468*K468+S468*H468),4)</f>
        <v>1397.1675</v>
      </c>
      <c r="W468" s="38">
        <f>ROUND((L468*J468+1.3*L468*N468+S468*G468),4)</f>
        <v>112.95</v>
      </c>
      <c r="X468" s="38">
        <f>ROUND((M468*J468+1.3*M468*N468+S468*G468),4)</f>
        <v>112.95</v>
      </c>
      <c r="Y468" s="38">
        <f>ROUND((M468*J468+1.3*M468*N468+S468*G468),4)</f>
        <v>112.95</v>
      </c>
      <c r="Z468" s="276">
        <f>ROUND((P468*T468*F468*O468/1000000),4)</f>
        <v>0.2515</v>
      </c>
      <c r="AA468" s="276">
        <f>ROUND((Q468*U468*F468*O468/1000000),4)</f>
        <v>0.12570000000000001</v>
      </c>
      <c r="AB468" s="276">
        <f>ROUND((R468*V468*F468*O468/1000000),4)</f>
        <v>0.12570000000000001</v>
      </c>
      <c r="AC468" s="277" t="s">
        <v>165</v>
      </c>
      <c r="AD468" s="278" t="s">
        <v>144</v>
      </c>
      <c r="AE468" s="40">
        <f>ROUND((((X468*E468)/1800)*0.8),4)</f>
        <v>5.0200000000000002E-2</v>
      </c>
      <c r="AF468" s="40">
        <f>ROUND(((Z468+AA468+AB468)*0.8),4)</f>
        <v>0.40229999999999999</v>
      </c>
      <c r="AG468" s="254"/>
      <c r="AH468" s="254"/>
    </row>
    <row r="469" spans="1:34" s="61" customFormat="1" ht="15" customHeight="1" x14ac:dyDescent="0.25">
      <c r="A469" s="260"/>
      <c r="B469" s="279" t="s">
        <v>600</v>
      </c>
      <c r="C469" s="280"/>
      <c r="D469" s="39"/>
      <c r="E469" s="39"/>
      <c r="F469" s="39"/>
      <c r="G469" s="39"/>
      <c r="H469" s="39"/>
      <c r="I469" s="39"/>
      <c r="J469" s="39"/>
      <c r="K469" s="39"/>
      <c r="L469" s="119"/>
      <c r="M469" s="119"/>
      <c r="N469" s="39"/>
      <c r="O469" s="39"/>
      <c r="P469" s="39"/>
      <c r="Q469" s="39"/>
      <c r="R469" s="39"/>
      <c r="S469" s="281"/>
      <c r="T469" s="39"/>
      <c r="U469" s="39"/>
      <c r="V469" s="39"/>
      <c r="W469" s="39"/>
      <c r="X469" s="39"/>
      <c r="Y469" s="39"/>
      <c r="Z469" s="39"/>
      <c r="AA469" s="39"/>
      <c r="AB469" s="39"/>
      <c r="AC469" s="277" t="s">
        <v>166</v>
      </c>
      <c r="AD469" s="278" t="s">
        <v>167</v>
      </c>
      <c r="AE469" s="40">
        <f>ROUND((((X468*E468)/1800)*0.13),4)</f>
        <v>8.2000000000000007E-3</v>
      </c>
      <c r="AF469" s="40">
        <f>ROUND(((Z468+AA468+AB468)*0.13),4)</f>
        <v>6.54E-2</v>
      </c>
      <c r="AG469" s="254"/>
      <c r="AH469" s="254"/>
    </row>
    <row r="470" spans="1:34" s="61" customFormat="1" ht="15" customHeight="1" x14ac:dyDescent="0.25">
      <c r="A470" s="260"/>
      <c r="B470" s="280"/>
      <c r="C470" s="282"/>
      <c r="D470" s="283"/>
      <c r="E470" s="39"/>
      <c r="F470" s="39"/>
      <c r="G470" s="39"/>
      <c r="H470" s="39"/>
      <c r="I470" s="39"/>
      <c r="J470" s="39"/>
      <c r="K470" s="39"/>
      <c r="L470" s="40">
        <v>0.31</v>
      </c>
      <c r="M470" s="40">
        <v>0.38</v>
      </c>
      <c r="N470" s="39"/>
      <c r="O470" s="39"/>
      <c r="P470" s="39"/>
      <c r="Q470" s="39"/>
      <c r="R470" s="39"/>
      <c r="S470" s="284">
        <v>0.16</v>
      </c>
      <c r="T470" s="38">
        <f>ROUND((L470*I468+1.3*L470*K468+S470*H468),4)</f>
        <v>113.99250000000001</v>
      </c>
      <c r="U470" s="38">
        <f>ROUND((M470*0.9*I468+1.3*M470*0.9*K468+S470*H468),4)</f>
        <v>124.7685</v>
      </c>
      <c r="V470" s="38">
        <f>ROUND((M470*I468+1.3*M470*K468+S470*H468),4)</f>
        <v>137.565</v>
      </c>
      <c r="W470" s="38">
        <f>ROUND((L470*J468+1.3*L470*N468+S470*G468),4)</f>
        <v>9.33</v>
      </c>
      <c r="X470" s="38">
        <f>ROUND((M470*0.9*J468+1.3*M470*0.9*N468+S470*G468),4)</f>
        <v>10.194000000000001</v>
      </c>
      <c r="Y470" s="38">
        <f>ROUND((M470*J468+1.3*M470*N468+S470*G468),4)</f>
        <v>11.22</v>
      </c>
      <c r="Z470" s="276">
        <f>ROUND((P468*T470*F468*O468/1000000),4)</f>
        <v>2.0500000000000001E-2</v>
      </c>
      <c r="AA470" s="276">
        <f>ROUND((Q468*U470*F468*O468/1000000),4)</f>
        <v>1.12E-2</v>
      </c>
      <c r="AB470" s="276">
        <f>ROUND((R468*V470*F468*O468/1000000),4)</f>
        <v>1.24E-2</v>
      </c>
      <c r="AC470" s="277" t="s">
        <v>547</v>
      </c>
      <c r="AD470" s="278" t="s">
        <v>169</v>
      </c>
      <c r="AE470" s="40">
        <f>ROUND((((X470*E468)/1800)),4)</f>
        <v>5.7000000000000002E-3</v>
      </c>
      <c r="AF470" s="40">
        <f>ROUND(((Z470+AA470+AB470)),5)</f>
        <v>4.41E-2</v>
      </c>
      <c r="AG470" s="254"/>
      <c r="AH470" s="254"/>
    </row>
    <row r="471" spans="1:34" s="61" customFormat="1" ht="15" customHeight="1" x14ac:dyDescent="0.25">
      <c r="A471" s="260"/>
      <c r="B471" s="280"/>
      <c r="C471" s="280"/>
      <c r="D471" s="39"/>
      <c r="E471" s="39"/>
      <c r="F471" s="39"/>
      <c r="G471" s="39"/>
      <c r="H471" s="39"/>
      <c r="I471" s="39"/>
      <c r="J471" s="39"/>
      <c r="K471" s="39"/>
      <c r="L471" s="40">
        <v>0.71</v>
      </c>
      <c r="M471" s="40">
        <v>0.85</v>
      </c>
      <c r="N471" s="39"/>
      <c r="O471" s="39"/>
      <c r="P471" s="39"/>
      <c r="Q471" s="39"/>
      <c r="R471" s="39"/>
      <c r="S471" s="285">
        <v>0.49</v>
      </c>
      <c r="T471" s="38">
        <f>ROUND((L471*I468+1.3*L471*K468+S471*H468),4)</f>
        <v>268.49250000000001</v>
      </c>
      <c r="U471" s="38">
        <f>ROUND((M471*0.9*I468+1.3*M471*0.9*K468+S471*H468),4)</f>
        <v>287.0138</v>
      </c>
      <c r="V471" s="38">
        <f>ROUND((M471*I468+1.3*M471*K468+S471*H468),4)</f>
        <v>315.63749999999999</v>
      </c>
      <c r="W471" s="38">
        <f>ROUND((L471*J468+1.3*L471*N468+S471*G468),4)</f>
        <v>22.11</v>
      </c>
      <c r="X471" s="38">
        <f>ROUND((M471*0.9*J468+1.3*M471*0.9*N468+S471*G468),4)</f>
        <v>23.594999999999999</v>
      </c>
      <c r="Y471" s="38">
        <f>ROUND((M471*J468+1.3*N468+S471*G468),4)</f>
        <v>27.84</v>
      </c>
      <c r="Z471" s="276">
        <f>ROUND((P468*T471*F468*O468/1000000),4)</f>
        <v>4.8300000000000003E-2</v>
      </c>
      <c r="AA471" s="276">
        <f>ROUND((Q468*U471*F468*O468/1000000),4)</f>
        <v>2.58E-2</v>
      </c>
      <c r="AB471" s="276">
        <f>ROUND((R468*V471*F468*O468/1000000),4)</f>
        <v>2.8400000000000002E-2</v>
      </c>
      <c r="AC471" s="277" t="s">
        <v>548</v>
      </c>
      <c r="AD471" s="278" t="s">
        <v>549</v>
      </c>
      <c r="AE471" s="40">
        <f>ROUND((((X471*E468)/1800)),4)</f>
        <v>1.3100000000000001E-2</v>
      </c>
      <c r="AF471" s="40">
        <f>ROUND(((Z471+AA471+AB471)),4)</f>
        <v>0.10249999999999999</v>
      </c>
      <c r="AG471" s="254"/>
      <c r="AH471" s="254"/>
    </row>
    <row r="472" spans="1:34" s="61" customFormat="1" ht="15" customHeight="1" x14ac:dyDescent="0.25">
      <c r="A472" s="260"/>
      <c r="B472" s="280"/>
      <c r="C472" s="280"/>
      <c r="D472" s="39"/>
      <c r="E472" s="39"/>
      <c r="F472" s="39"/>
      <c r="G472" s="39"/>
      <c r="H472" s="39"/>
      <c r="I472" s="39"/>
      <c r="J472" s="39"/>
      <c r="K472" s="39"/>
      <c r="L472" s="40">
        <v>0.45</v>
      </c>
      <c r="M472" s="40">
        <v>0.67</v>
      </c>
      <c r="N472" s="39"/>
      <c r="O472" s="39"/>
      <c r="P472" s="39"/>
      <c r="Q472" s="39"/>
      <c r="R472" s="39"/>
      <c r="S472" s="285">
        <v>0.1</v>
      </c>
      <c r="T472" s="38">
        <f>ROUND((L472*I468+1.3*L472*K468+S472*H468),4)</f>
        <v>157.53749999999999</v>
      </c>
      <c r="U472" s="38">
        <f>ROUND((M472*0.9*I468+1.3*M472*0.9*K468+S472*H468),4)</f>
        <v>209.06030000000001</v>
      </c>
      <c r="V472" s="38">
        <f>ROUND((M472*I468+1.3*M472*K468+S472*H468),4)</f>
        <v>231.6225</v>
      </c>
      <c r="W472" s="38">
        <f>ROUND((L472*J468+1.3*L472*N468+S472*G468),4)</f>
        <v>12.75</v>
      </c>
      <c r="X472" s="38">
        <f>ROUND((M472*0.9*J468+1.3*M472*0.9*N468+S472*G468),4)</f>
        <v>16.881</v>
      </c>
      <c r="Y472" s="38">
        <f>ROUND((M472*J468+1.3*M472*N468+S472*G468),4)</f>
        <v>18.690000000000001</v>
      </c>
      <c r="Z472" s="276">
        <f>ROUND((P468*T472*F468*O468/1000000),4)</f>
        <v>2.8400000000000002E-2</v>
      </c>
      <c r="AA472" s="276">
        <f>ROUND((Q468*U472*F468*O468/1000000),4)</f>
        <v>1.8800000000000001E-2</v>
      </c>
      <c r="AB472" s="276">
        <f>ROUND((R468*V472*F468*O468/1000000),4)</f>
        <v>2.0799999999999999E-2</v>
      </c>
      <c r="AC472" s="277" t="s">
        <v>172</v>
      </c>
      <c r="AD472" s="278" t="s">
        <v>173</v>
      </c>
      <c r="AE472" s="40">
        <f>ROUND((((X472*E468)/1800)),4)</f>
        <v>9.4000000000000004E-3</v>
      </c>
      <c r="AF472" s="40">
        <f>ROUND(((Z472+AA472+AB472)),4)</f>
        <v>6.8000000000000005E-2</v>
      </c>
      <c r="AG472" s="254"/>
      <c r="AH472" s="254"/>
    </row>
    <row r="473" spans="1:34" s="61" customFormat="1" ht="15" customHeight="1" x14ac:dyDescent="0.25">
      <c r="A473" s="260"/>
      <c r="B473" s="286"/>
      <c r="C473" s="286"/>
      <c r="D473" s="119"/>
      <c r="E473" s="119"/>
      <c r="F473" s="119"/>
      <c r="G473" s="119"/>
      <c r="H473" s="119"/>
      <c r="I473" s="119"/>
      <c r="J473" s="119"/>
      <c r="K473" s="119"/>
      <c r="L473" s="40">
        <v>2.09</v>
      </c>
      <c r="M473" s="40">
        <v>2.5499999999999998</v>
      </c>
      <c r="N473" s="119"/>
      <c r="O473" s="119"/>
      <c r="P473" s="119"/>
      <c r="Q473" s="119"/>
      <c r="R473" s="119"/>
      <c r="S473" s="285">
        <v>3.91</v>
      </c>
      <c r="T473" s="38">
        <f>ROUND((L473*I468+1.3*L473*K468+S473*H468),4)</f>
        <v>938.40750000000003</v>
      </c>
      <c r="U473" s="38">
        <f>ROUND((M473*0.9*I468+1.3*M473*0.9*K468+S473*H468),4)</f>
        <v>1007.4413</v>
      </c>
      <c r="V473" s="38">
        <f>ROUND((M473*I468+1.3*M473*K468+S473*H468),4)</f>
        <v>1093.3125</v>
      </c>
      <c r="W473" s="38">
        <f>ROUND((L473*J468+1.3*L473*N468+S473*G468),4)</f>
        <v>79.89</v>
      </c>
      <c r="X473" s="38">
        <f>ROUND((M473*0.9*J468+1.3*M473*0.9*N468+S473*G468),4)</f>
        <v>85.424999999999997</v>
      </c>
      <c r="Y473" s="38">
        <f>ROUND((M473*J468+1.3*M473*N468+S473*G468),4)</f>
        <v>92.31</v>
      </c>
      <c r="Z473" s="276">
        <f>ROUND((P468*T473*F468*O468/1000000),4)</f>
        <v>0.16889999999999999</v>
      </c>
      <c r="AA473" s="276">
        <f>ROUND((Q468*U473*F468*O468/1000000),4)</f>
        <v>9.0700000000000003E-2</v>
      </c>
      <c r="AB473" s="276">
        <f>ROUND((R468*V473*F468*O468/1000000),4)</f>
        <v>9.8400000000000001E-2</v>
      </c>
      <c r="AC473" s="277" t="s">
        <v>157</v>
      </c>
      <c r="AD473" s="278" t="s">
        <v>153</v>
      </c>
      <c r="AE473" s="40">
        <f>ROUND((((X473*E468)/1800)),4)</f>
        <v>4.7500000000000001E-2</v>
      </c>
      <c r="AF473" s="40">
        <f>ROUND(((Z473+AA473+AB473)),4)</f>
        <v>0.35799999999999998</v>
      </c>
      <c r="AG473" s="254"/>
      <c r="AH473" s="254"/>
    </row>
    <row r="474" spans="1:34" s="61" customFormat="1" ht="15" customHeight="1" x14ac:dyDescent="0.25">
      <c r="A474" s="260"/>
      <c r="B474" s="1638" t="s">
        <v>601</v>
      </c>
      <c r="C474" s="274">
        <v>3</v>
      </c>
      <c r="D474" s="38" t="s">
        <v>579</v>
      </c>
      <c r="E474" s="38">
        <v>1</v>
      </c>
      <c r="F474" s="38">
        <v>1</v>
      </c>
      <c r="G474" s="38">
        <v>6</v>
      </c>
      <c r="H474" s="38">
        <v>60</v>
      </c>
      <c r="I474" s="38">
        <f>(8-1-0.75*2)*60*F474-K474-8*0.12*60</f>
        <v>57.900000000000006</v>
      </c>
      <c r="J474" s="38">
        <v>14</v>
      </c>
      <c r="K474" s="38">
        <f>(8-1-0.75*2)*0.65*60*F474</f>
        <v>214.5</v>
      </c>
      <c r="L474" s="38">
        <v>1.49</v>
      </c>
      <c r="M474" s="38">
        <v>1.49</v>
      </c>
      <c r="N474" s="38">
        <v>10</v>
      </c>
      <c r="O474" s="38">
        <f>E474/F474</f>
        <v>1</v>
      </c>
      <c r="P474" s="38">
        <v>180</v>
      </c>
      <c r="Q474" s="38">
        <v>90</v>
      </c>
      <c r="R474" s="275">
        <v>90</v>
      </c>
      <c r="S474" s="275">
        <v>0.28999999999999998</v>
      </c>
      <c r="T474" s="38">
        <f>ROUND((L474*I474+1.3*L474*K474+S474*H474),4)</f>
        <v>519.15750000000003</v>
      </c>
      <c r="U474" s="38">
        <f>ROUND((M474*I474+1.3*M474*K474+S474*H474),4)</f>
        <v>519.15750000000003</v>
      </c>
      <c r="V474" s="38">
        <f>ROUND((M474*I474+1.3*M474*K474+S474*H474),4)</f>
        <v>519.15750000000003</v>
      </c>
      <c r="W474" s="38">
        <f>ROUND((L474*J474+1.3*L474*N474+S474*G474),4)</f>
        <v>41.97</v>
      </c>
      <c r="X474" s="38">
        <f>ROUND((M474*J474+1.3*M474*N474+S474*G474),4)</f>
        <v>41.97</v>
      </c>
      <c r="Y474" s="38">
        <f>ROUND((M474*J474+1.3*M474*N474+S474*G474),4)</f>
        <v>41.97</v>
      </c>
      <c r="Z474" s="276">
        <f>ROUND((P474*T474*F474*O474/1000000),4)</f>
        <v>9.3399999999999997E-2</v>
      </c>
      <c r="AA474" s="276">
        <f>ROUND((Q474*U474*F474*O474/1000000),4)</f>
        <v>4.6699999999999998E-2</v>
      </c>
      <c r="AB474" s="276">
        <f>ROUND((R474*V474*F474*O474/1000000),4)</f>
        <v>4.6699999999999998E-2</v>
      </c>
      <c r="AC474" s="277" t="s">
        <v>165</v>
      </c>
      <c r="AD474" s="278" t="s">
        <v>144</v>
      </c>
      <c r="AE474" s="40">
        <f>ROUND((((X474*E474)/1800)*0.8),4)</f>
        <v>1.8700000000000001E-2</v>
      </c>
      <c r="AF474" s="40">
        <f>ROUND(((Z474+AA474+AB474)*0.8),4)</f>
        <v>0.14940000000000001</v>
      </c>
      <c r="AG474" s="288"/>
      <c r="AH474" s="288"/>
    </row>
    <row r="475" spans="1:34" s="61" customFormat="1" ht="15" customHeight="1" x14ac:dyDescent="0.25">
      <c r="A475" s="260"/>
      <c r="B475" s="1639"/>
      <c r="C475" s="39"/>
      <c r="D475" s="39"/>
      <c r="E475" s="39"/>
      <c r="F475" s="39"/>
      <c r="G475" s="39"/>
      <c r="H475" s="39"/>
      <c r="I475" s="39"/>
      <c r="J475" s="39"/>
      <c r="K475" s="39"/>
      <c r="L475" s="119"/>
      <c r="M475" s="119"/>
      <c r="N475" s="39"/>
      <c r="O475" s="39"/>
      <c r="P475" s="39"/>
      <c r="Q475" s="39"/>
      <c r="R475" s="39"/>
      <c r="S475" s="281"/>
      <c r="T475" s="39"/>
      <c r="U475" s="39"/>
      <c r="V475" s="39"/>
      <c r="W475" s="39"/>
      <c r="X475" s="39"/>
      <c r="Y475" s="39"/>
      <c r="Z475" s="39"/>
      <c r="AA475" s="39"/>
      <c r="AB475" s="39"/>
      <c r="AC475" s="277" t="s">
        <v>166</v>
      </c>
      <c r="AD475" s="278" t="s">
        <v>167</v>
      </c>
      <c r="AE475" s="40">
        <f>ROUND((((X474*E474)/1800)*0.13),4)</f>
        <v>3.0000000000000001E-3</v>
      </c>
      <c r="AF475" s="40">
        <f>ROUND(((Z474+AA474+AB474)*0.13),4)</f>
        <v>2.4299999999999999E-2</v>
      </c>
      <c r="AG475" s="288"/>
      <c r="AH475" s="288"/>
    </row>
    <row r="476" spans="1:34" s="61" customFormat="1" ht="15" customHeight="1" x14ac:dyDescent="0.25">
      <c r="A476" s="260"/>
      <c r="B476" s="280" t="s">
        <v>602</v>
      </c>
      <c r="C476" s="283"/>
      <c r="D476" s="283"/>
      <c r="E476" s="39"/>
      <c r="F476" s="39"/>
      <c r="G476" s="39"/>
      <c r="H476" s="39"/>
      <c r="I476" s="39"/>
      <c r="J476" s="39"/>
      <c r="K476" s="39"/>
      <c r="L476" s="40">
        <v>0.12</v>
      </c>
      <c r="M476" s="40">
        <v>0.15</v>
      </c>
      <c r="N476" s="39"/>
      <c r="O476" s="39"/>
      <c r="P476" s="39"/>
      <c r="Q476" s="39"/>
      <c r="R476" s="39"/>
      <c r="S476" s="284">
        <v>5.8000000000000003E-2</v>
      </c>
      <c r="T476" s="38">
        <f>ROUND((L476*I474+1.3*L476*K474+S476*H474),4)</f>
        <v>43.89</v>
      </c>
      <c r="U476" s="38">
        <f>ROUND((M476*0.9*I474+1.3*M476*0.9*K474+S476*H474),4)</f>
        <v>48.941299999999998</v>
      </c>
      <c r="V476" s="38">
        <f>ROUND((M476*I474+1.3*M476*K474+S476*H474),4)</f>
        <v>53.9925</v>
      </c>
      <c r="W476" s="38">
        <f>ROUND((L476*J474+1.3*L476*N474+S476*G474),4)</f>
        <v>3.5880000000000001</v>
      </c>
      <c r="X476" s="38">
        <f>ROUND((M476*0.9*J474+1.3*M476*0.9*N474+S476*G474),4)</f>
        <v>3.9929999999999999</v>
      </c>
      <c r="Y476" s="38">
        <f>ROUND((M476*J474+1.3*M476*N474+S476*G474),4)</f>
        <v>4.3979999999999997</v>
      </c>
      <c r="Z476" s="276">
        <f>ROUND((P474*T476*F474*O474/1000000),4)</f>
        <v>7.9000000000000008E-3</v>
      </c>
      <c r="AA476" s="276">
        <f>ROUND((Q474*U476*F474*O474/1000000),4)</f>
        <v>4.4000000000000003E-3</v>
      </c>
      <c r="AB476" s="276">
        <f>ROUND((R474*V476*F474*O474/1000000),4)</f>
        <v>4.8999999999999998E-3</v>
      </c>
      <c r="AC476" s="277" t="s">
        <v>547</v>
      </c>
      <c r="AD476" s="278" t="s">
        <v>169</v>
      </c>
      <c r="AE476" s="40">
        <f>ROUND((((X476*E474)/1800)),4)</f>
        <v>2.2000000000000001E-3</v>
      </c>
      <c r="AF476" s="40">
        <f>ROUND(((Z476+AA476+AB476)),5)</f>
        <v>1.72E-2</v>
      </c>
      <c r="AG476" s="288"/>
      <c r="AH476" s="288"/>
    </row>
    <row r="477" spans="1:34" s="61" customFormat="1" ht="15" customHeight="1" x14ac:dyDescent="0.25">
      <c r="A477" s="260"/>
      <c r="B477" s="288"/>
      <c r="C477" s="39"/>
      <c r="D477" s="39"/>
      <c r="E477" s="39"/>
      <c r="F477" s="39"/>
      <c r="G477" s="39"/>
      <c r="H477" s="39"/>
      <c r="I477" s="39"/>
      <c r="J477" s="39"/>
      <c r="K477" s="39"/>
      <c r="L477" s="40">
        <v>0.26</v>
      </c>
      <c r="M477" s="40">
        <v>0.31</v>
      </c>
      <c r="N477" s="39"/>
      <c r="O477" s="39"/>
      <c r="P477" s="39"/>
      <c r="Q477" s="39"/>
      <c r="R477" s="39"/>
      <c r="S477" s="285">
        <v>0.18</v>
      </c>
      <c r="T477" s="38">
        <f>ROUND((L477*I474+1.3*L477*K474+S477*H474),4)</f>
        <v>98.355000000000004</v>
      </c>
      <c r="U477" s="38">
        <f>ROUND((M477*0.9*I474+1.3*M477*0.9*K474+S477*H474),4)</f>
        <v>104.7533</v>
      </c>
      <c r="V477" s="38">
        <f>ROUND((M477*I474+1.3*M477*K474+S477*H474),4)</f>
        <v>115.1925</v>
      </c>
      <c r="W477" s="38">
        <f>ROUND((L477*J474+1.3*L477*N474+S477*G474),4)</f>
        <v>8.1</v>
      </c>
      <c r="X477" s="38">
        <f>ROUND((M477*0.9*J474+1.3*M477*0.9*N474+S477*G474),4)</f>
        <v>8.6129999999999995</v>
      </c>
      <c r="Y477" s="38">
        <f>ROUND((M477*J474+1.3*N474+S477*G474),4)</f>
        <v>18.420000000000002</v>
      </c>
      <c r="Z477" s="276">
        <f>ROUND((P474*T477*F474*O474/1000000),4)</f>
        <v>1.77E-2</v>
      </c>
      <c r="AA477" s="276">
        <f>ROUND((Q474*U477*F474*O474/1000000),4)</f>
        <v>9.4000000000000004E-3</v>
      </c>
      <c r="AB477" s="276">
        <f>ROUND((R474*V477*F474*O474/1000000),4)</f>
        <v>1.04E-2</v>
      </c>
      <c r="AC477" s="277" t="s">
        <v>548</v>
      </c>
      <c r="AD477" s="278" t="s">
        <v>549</v>
      </c>
      <c r="AE477" s="40">
        <f>ROUND((((X477*E474)/1800)),4)</f>
        <v>4.7999999999999996E-3</v>
      </c>
      <c r="AF477" s="40">
        <f>ROUND(((Z477+AA477+AB477)),4)</f>
        <v>3.7499999999999999E-2</v>
      </c>
      <c r="AG477" s="288"/>
      <c r="AH477" s="288"/>
    </row>
    <row r="478" spans="1:34" s="61" customFormat="1" ht="15" customHeight="1" x14ac:dyDescent="0.25">
      <c r="A478" s="260"/>
      <c r="B478" s="280"/>
      <c r="C478" s="39"/>
      <c r="D478" s="39"/>
      <c r="E478" s="39"/>
      <c r="F478" s="39"/>
      <c r="G478" s="39"/>
      <c r="H478" s="39"/>
      <c r="I478" s="39"/>
      <c r="J478" s="39"/>
      <c r="K478" s="39"/>
      <c r="L478" s="40">
        <v>0.17</v>
      </c>
      <c r="M478" s="40">
        <v>0.25</v>
      </c>
      <c r="N478" s="39"/>
      <c r="O478" s="39"/>
      <c r="P478" s="39"/>
      <c r="Q478" s="39"/>
      <c r="R478" s="39"/>
      <c r="S478" s="285">
        <v>0.04</v>
      </c>
      <c r="T478" s="38">
        <f>ROUND((L478*I474+1.3*L478*K474+S478*H474),4)</f>
        <v>59.647500000000001</v>
      </c>
      <c r="U478" s="38">
        <f>ROUND((M478*0.9*I474+1.3*M478*0.9*K474+S478*H474),4)</f>
        <v>78.168800000000005</v>
      </c>
      <c r="V478" s="38">
        <f>ROUND((M478*I474+1.3*M478*K474+S478*H474),4)</f>
        <v>86.587500000000006</v>
      </c>
      <c r="W478" s="38">
        <f>ROUND((L478*J474+1.3*L478*N474+S478*G474),4)</f>
        <v>4.83</v>
      </c>
      <c r="X478" s="38">
        <f>ROUND((M478*0.9*J474+1.3*M478*0.9*N474+S478*G474),4)</f>
        <v>6.3150000000000004</v>
      </c>
      <c r="Y478" s="38">
        <f>ROUND((M478*J474+1.3*M478*N474+S478*G474),4)</f>
        <v>6.99</v>
      </c>
      <c r="Z478" s="276">
        <f>ROUND((P474*T478*F474*O474/1000000),4)</f>
        <v>1.0699999999999999E-2</v>
      </c>
      <c r="AA478" s="276">
        <f>ROUND((Q474*U478*F474*O474/1000000),4)</f>
        <v>7.0000000000000001E-3</v>
      </c>
      <c r="AB478" s="276">
        <f>ROUND((R474*V478*F474*O474/1000000),4)</f>
        <v>7.7999999999999996E-3</v>
      </c>
      <c r="AC478" s="277" t="s">
        <v>172</v>
      </c>
      <c r="AD478" s="278" t="s">
        <v>173</v>
      </c>
      <c r="AE478" s="40">
        <f>ROUND((((X478*E474)/1800)),4)</f>
        <v>3.5000000000000001E-3</v>
      </c>
      <c r="AF478" s="40">
        <f>ROUND(((Z478+AA478+AB478)),4)</f>
        <v>2.5499999999999998E-2</v>
      </c>
      <c r="AG478" s="288"/>
      <c r="AH478" s="288"/>
    </row>
    <row r="479" spans="1:34" s="61" customFormat="1" ht="15" customHeight="1" x14ac:dyDescent="0.25">
      <c r="A479" s="260"/>
      <c r="B479" s="286"/>
      <c r="C479" s="119"/>
      <c r="D479" s="119"/>
      <c r="E479" s="119"/>
      <c r="F479" s="119"/>
      <c r="G479" s="119"/>
      <c r="H479" s="119"/>
      <c r="I479" s="119"/>
      <c r="J479" s="119"/>
      <c r="K479" s="119"/>
      <c r="L479" s="40">
        <v>0.77</v>
      </c>
      <c r="M479" s="40">
        <v>0.94</v>
      </c>
      <c r="N479" s="119"/>
      <c r="O479" s="119"/>
      <c r="P479" s="119"/>
      <c r="Q479" s="119"/>
      <c r="R479" s="119"/>
      <c r="S479" s="285">
        <v>1.44</v>
      </c>
      <c r="T479" s="38">
        <f>ROUND((L479*I474+1.3*L479*K474+S479*H474),4)</f>
        <v>345.69749999999999</v>
      </c>
      <c r="U479" s="38">
        <f>ROUND((M479*0.9*I474+1.3*M479*0.9*K474+S479*H474),4)</f>
        <v>371.29050000000001</v>
      </c>
      <c r="V479" s="38">
        <f>ROUND((M479*I474+1.3*M479*K474+S479*H474),4)</f>
        <v>402.94499999999999</v>
      </c>
      <c r="W479" s="38">
        <f>ROUND((L479*J474+1.3*L479*N474+S479*G474),4)</f>
        <v>29.43</v>
      </c>
      <c r="X479" s="38">
        <f>ROUND((M479*0.9*J474+1.3*M479*0.9*N474+S479*G474),4)</f>
        <v>31.481999999999999</v>
      </c>
      <c r="Y479" s="38">
        <f>ROUND((M479*J474+1.3*M479*N474+S479*G474),4)</f>
        <v>34.020000000000003</v>
      </c>
      <c r="Z479" s="276">
        <f>ROUND((P474*T479*F474*O474/1000000),4)</f>
        <v>6.2199999999999998E-2</v>
      </c>
      <c r="AA479" s="276">
        <f>ROUND((Q474*U479*F474*O474/1000000),4)</f>
        <v>3.3399999999999999E-2</v>
      </c>
      <c r="AB479" s="276">
        <f>ROUND((R474*V479*F474*O474/1000000),4)</f>
        <v>3.6299999999999999E-2</v>
      </c>
      <c r="AC479" s="277" t="s">
        <v>157</v>
      </c>
      <c r="AD479" s="278" t="s">
        <v>153</v>
      </c>
      <c r="AE479" s="40">
        <f>ROUND((((X479*E474)/1800)),4)</f>
        <v>1.7500000000000002E-2</v>
      </c>
      <c r="AF479" s="40">
        <f>ROUND(((Z479+AA479+AB479)),4)</f>
        <v>0.13189999999999999</v>
      </c>
      <c r="AG479" s="288"/>
      <c r="AH479" s="288"/>
    </row>
    <row r="480" spans="1:34" s="61" customFormat="1" ht="15" customHeight="1" x14ac:dyDescent="0.25">
      <c r="A480" s="260"/>
      <c r="B480" s="274" t="s">
        <v>603</v>
      </c>
      <c r="C480" s="38">
        <v>4</v>
      </c>
      <c r="D480" s="38" t="s">
        <v>545</v>
      </c>
      <c r="E480" s="38">
        <v>1</v>
      </c>
      <c r="F480" s="38">
        <v>1</v>
      </c>
      <c r="G480" s="38">
        <v>6</v>
      </c>
      <c r="H480" s="38">
        <v>60</v>
      </c>
      <c r="I480" s="38">
        <f>(8-1-0.75*2)*60*F480-K480-8*0.12*60</f>
        <v>57.900000000000006</v>
      </c>
      <c r="J480" s="38">
        <v>14</v>
      </c>
      <c r="K480" s="38">
        <f>(8-1-0.75*2)*0.65*60*F480</f>
        <v>214.5</v>
      </c>
      <c r="L480" s="38">
        <v>2.4700000000000002</v>
      </c>
      <c r="M480" s="38">
        <v>2.4700000000000002</v>
      </c>
      <c r="N480" s="38">
        <v>10</v>
      </c>
      <c r="O480" s="38">
        <f>E480/F480</f>
        <v>1</v>
      </c>
      <c r="P480" s="38">
        <v>180</v>
      </c>
      <c r="Q480" s="38">
        <v>90</v>
      </c>
      <c r="R480" s="275">
        <v>90</v>
      </c>
      <c r="S480" s="38">
        <v>0.48</v>
      </c>
      <c r="T480" s="38">
        <f>ROUND((L480*I480+1.3*L480*K480+S480*H480),4)</f>
        <v>860.57249999999999</v>
      </c>
      <c r="U480" s="38">
        <f>ROUND((M480*I480+1.3*M480*K480+S480*H480),4)</f>
        <v>860.57249999999999</v>
      </c>
      <c r="V480" s="38">
        <f>ROUND((M480*I480+1.3*M480*K480+S480*H480),4)</f>
        <v>860.57249999999999</v>
      </c>
      <c r="W480" s="38">
        <f>ROUND((L480*J480+1.3*L480*N480+S480*G480),4)</f>
        <v>69.569999999999993</v>
      </c>
      <c r="X480" s="38">
        <f>ROUND((M480*J480+1.3*M480*N480+S480*G480),4)</f>
        <v>69.569999999999993</v>
      </c>
      <c r="Y480" s="38">
        <f>ROUND((M480*J480+1.3*M480*N480+S480*G480),4)</f>
        <v>69.569999999999993</v>
      </c>
      <c r="Z480" s="276">
        <f>ROUND((P480*T480*F480*O480/1000000),4)</f>
        <v>0.15490000000000001</v>
      </c>
      <c r="AA480" s="276">
        <f>ROUND((Q480*U480*F480*O480/1000000),4)</f>
        <v>7.7499999999999999E-2</v>
      </c>
      <c r="AB480" s="276">
        <f>ROUND((R480*V480*F480*O480/1000000),4)</f>
        <v>7.7499999999999999E-2</v>
      </c>
      <c r="AC480" s="277" t="s">
        <v>165</v>
      </c>
      <c r="AD480" s="278" t="s">
        <v>144</v>
      </c>
      <c r="AE480" s="40">
        <f>ROUND((((X480*E480)/1800)*0.8),4)</f>
        <v>3.09E-2</v>
      </c>
      <c r="AF480" s="40">
        <f>ROUND(((Z480+AA480+AB480)*0.8),4)</f>
        <v>0.24790000000000001</v>
      </c>
      <c r="AG480" s="254"/>
      <c r="AH480" s="254"/>
    </row>
    <row r="481" spans="1:34" s="61" customFormat="1" ht="15" customHeight="1" x14ac:dyDescent="0.25">
      <c r="A481" s="260"/>
      <c r="B481" s="280" t="s">
        <v>604</v>
      </c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296"/>
      <c r="T481" s="39"/>
      <c r="U481" s="39"/>
      <c r="V481" s="39"/>
      <c r="W481" s="39"/>
      <c r="X481" s="39"/>
      <c r="Y481" s="39"/>
      <c r="Z481" s="39"/>
      <c r="AA481" s="39"/>
      <c r="AB481" s="39"/>
      <c r="AC481" s="277" t="s">
        <v>166</v>
      </c>
      <c r="AD481" s="278" t="s">
        <v>167</v>
      </c>
      <c r="AE481" s="40">
        <f>ROUND((((X480*E480)/1800)*0.13),4)</f>
        <v>5.0000000000000001E-3</v>
      </c>
      <c r="AF481" s="40">
        <f>ROUND(((Z480+AA480+AB480)*0.13),4)</f>
        <v>4.0300000000000002E-2</v>
      </c>
      <c r="AG481" s="254"/>
      <c r="AH481" s="254"/>
    </row>
    <row r="482" spans="1:34" s="61" customFormat="1" ht="15" customHeight="1" x14ac:dyDescent="0.25">
      <c r="A482" s="260"/>
      <c r="B482" s="280"/>
      <c r="C482" s="283"/>
      <c r="D482" s="283"/>
      <c r="E482" s="39"/>
      <c r="F482" s="39"/>
      <c r="G482" s="39"/>
      <c r="H482" s="39"/>
      <c r="I482" s="39"/>
      <c r="J482" s="39"/>
      <c r="K482" s="39"/>
      <c r="L482" s="39">
        <v>0.19</v>
      </c>
      <c r="M482" s="39">
        <v>0.23</v>
      </c>
      <c r="N482" s="39"/>
      <c r="O482" s="39"/>
      <c r="P482" s="39"/>
      <c r="Q482" s="39"/>
      <c r="R482" s="39"/>
      <c r="S482" s="42">
        <v>9.7000000000000003E-2</v>
      </c>
      <c r="T482" s="38">
        <f>ROUND((L482*I480+1.3*L482*K480+S482*H480),4)</f>
        <v>69.802499999999995</v>
      </c>
      <c r="U482" s="38">
        <f>ROUND((M482*0.9*I480+1.3*M482*0.9*K480+S482*H480),4)</f>
        <v>75.527299999999997</v>
      </c>
      <c r="V482" s="38">
        <f>ROUND((M482*I480+1.3*M482*K480+S482*H480),4)</f>
        <v>83.272499999999994</v>
      </c>
      <c r="W482" s="38">
        <f>ROUND((L482*J480+1.3*L482*N480+S482*G480),4)</f>
        <v>5.7119999999999997</v>
      </c>
      <c r="X482" s="38">
        <f>ROUND((M482*0.9*J480+1.3*M482*0.9*N480+S482*G480),4)</f>
        <v>6.1710000000000003</v>
      </c>
      <c r="Y482" s="38">
        <f>ROUND((M482*J480+1.3*M482*N480+S482*G480),4)</f>
        <v>6.7919999999999998</v>
      </c>
      <c r="Z482" s="276">
        <f>ROUND((P480*T482*F480*O480/1000000),4)</f>
        <v>1.26E-2</v>
      </c>
      <c r="AA482" s="276">
        <f>ROUND((Q480*U482*F480*O480/1000000),4)</f>
        <v>6.7999999999999996E-3</v>
      </c>
      <c r="AB482" s="276">
        <f>ROUND((R480*V482*F480*O480/1000000),4)</f>
        <v>7.4999999999999997E-3</v>
      </c>
      <c r="AC482" s="277" t="s">
        <v>547</v>
      </c>
      <c r="AD482" s="278" t="s">
        <v>169</v>
      </c>
      <c r="AE482" s="40">
        <f>ROUND((((X482*E480)/1800)),4)</f>
        <v>3.3999999999999998E-3</v>
      </c>
      <c r="AF482" s="40">
        <f>ROUND(((Z482+AA482+AB482)),5)</f>
        <v>2.69E-2</v>
      </c>
      <c r="AG482" s="254"/>
      <c r="AH482" s="254"/>
    </row>
    <row r="483" spans="1:34" s="61" customFormat="1" ht="15" customHeight="1" x14ac:dyDescent="0.25">
      <c r="A483" s="260"/>
      <c r="B483" s="297"/>
      <c r="C483" s="39"/>
      <c r="D483" s="39"/>
      <c r="E483" s="39"/>
      <c r="F483" s="39"/>
      <c r="G483" s="39"/>
      <c r="H483" s="39"/>
      <c r="I483" s="39"/>
      <c r="J483" s="39"/>
      <c r="K483" s="39"/>
      <c r="L483" s="39">
        <v>0.43</v>
      </c>
      <c r="M483" s="39">
        <v>0.51</v>
      </c>
      <c r="N483" s="39"/>
      <c r="O483" s="39"/>
      <c r="P483" s="39"/>
      <c r="Q483" s="39"/>
      <c r="R483" s="39"/>
      <c r="S483" s="42">
        <v>0.3</v>
      </c>
      <c r="T483" s="38">
        <f>ROUND((L483*I480+1.3*L483*K480+S483*H480),4)</f>
        <v>162.80250000000001</v>
      </c>
      <c r="U483" s="38">
        <f>ROUND((M483*0.9*I480+1.3*M483*0.9*K480+S483*H480),4)</f>
        <v>172.56829999999999</v>
      </c>
      <c r="V483" s="38">
        <f>ROUND((M483*I480+1.3*M483*K480+S483*H480),4)</f>
        <v>189.74250000000001</v>
      </c>
      <c r="W483" s="38">
        <f>ROUND((L483*J480+1.3*L483*N480+S483*G480),4)</f>
        <v>13.41</v>
      </c>
      <c r="X483" s="38">
        <f>ROUND((M483*0.9*J480+1.3*M483*0.9*N480+S483*G480),4)</f>
        <v>14.193</v>
      </c>
      <c r="Y483" s="38">
        <f>ROUND((M483*J480+1.3*N480+S483*G480),4)</f>
        <v>21.94</v>
      </c>
      <c r="Z483" s="276">
        <f>ROUND((P480*T483*F480*O480/1000000),4)</f>
        <v>2.93E-2</v>
      </c>
      <c r="AA483" s="276">
        <f>ROUND((Q480*U483*F480*O480/1000000),4)</f>
        <v>1.55E-2</v>
      </c>
      <c r="AB483" s="276">
        <f>ROUND((R480*V483*F480*O480/1000000),4)</f>
        <v>1.7100000000000001E-2</v>
      </c>
      <c r="AC483" s="277" t="s">
        <v>548</v>
      </c>
      <c r="AD483" s="278" t="s">
        <v>549</v>
      </c>
      <c r="AE483" s="40">
        <f>ROUND((((X483*E480)/1800)),4)</f>
        <v>7.9000000000000008E-3</v>
      </c>
      <c r="AF483" s="40">
        <f>ROUND(((Z483+AA483+AB483)),4)</f>
        <v>6.1899999999999997E-2</v>
      </c>
      <c r="AG483" s="254"/>
      <c r="AH483" s="254"/>
    </row>
    <row r="484" spans="1:34" s="61" customFormat="1" ht="15" customHeight="1" x14ac:dyDescent="0.25">
      <c r="A484" s="260"/>
      <c r="B484" s="280"/>
      <c r="C484" s="39"/>
      <c r="D484" s="39"/>
      <c r="E484" s="39"/>
      <c r="F484" s="39"/>
      <c r="G484" s="39"/>
      <c r="H484" s="39"/>
      <c r="I484" s="39"/>
      <c r="J484" s="39"/>
      <c r="K484" s="39"/>
      <c r="L484" s="39">
        <v>0.27</v>
      </c>
      <c r="M484" s="39">
        <v>0.41</v>
      </c>
      <c r="N484" s="39"/>
      <c r="O484" s="39"/>
      <c r="P484" s="39"/>
      <c r="Q484" s="39"/>
      <c r="R484" s="39"/>
      <c r="S484" s="42">
        <v>0.06</v>
      </c>
      <c r="T484" s="38">
        <f>ROUND((L484*I480+1.3*L484*K480+S484*H480),4)</f>
        <v>94.522499999999994</v>
      </c>
      <c r="U484" s="38">
        <f>ROUND((M484*0.9*I480+1.3*M484*0.9*K480+S484*H480),4)</f>
        <v>127.8608</v>
      </c>
      <c r="V484" s="38">
        <f>ROUND((M484*I480+1.3*M484*K480+S484*H480),4)</f>
        <v>141.66749999999999</v>
      </c>
      <c r="W484" s="38">
        <f>ROUND((L484*J480+1.3*L484*N480+S484*G480),4)</f>
        <v>7.65</v>
      </c>
      <c r="X484" s="38">
        <f>ROUND((M484*0.9*J480+1.3*M484*0.9*N480+S484*G480),4)</f>
        <v>10.323</v>
      </c>
      <c r="Y484" s="38">
        <f>ROUND((M484*J480+1.3*M484*N480+S484*G480),4)</f>
        <v>11.43</v>
      </c>
      <c r="Z484" s="276">
        <f>ROUND((P480*T484*F480*O480/1000000),4)</f>
        <v>1.7000000000000001E-2</v>
      </c>
      <c r="AA484" s="276">
        <f>ROUND((Q480*U484*F480*O480/1000000),4)</f>
        <v>1.15E-2</v>
      </c>
      <c r="AB484" s="276">
        <f>ROUND((R480*V484*F480*O480/1000000),4)</f>
        <v>1.2800000000000001E-2</v>
      </c>
      <c r="AC484" s="277" t="s">
        <v>172</v>
      </c>
      <c r="AD484" s="278" t="s">
        <v>173</v>
      </c>
      <c r="AE484" s="40">
        <f>ROUND((((X484*E480)/1800)),4)</f>
        <v>5.7000000000000002E-3</v>
      </c>
      <c r="AF484" s="40">
        <f>ROUND(((Z484+AA484+AB484)),4)</f>
        <v>4.1300000000000003E-2</v>
      </c>
      <c r="AG484" s="254"/>
      <c r="AH484" s="254"/>
    </row>
    <row r="485" spans="1:34" s="61" customFormat="1" ht="15" customHeight="1" x14ac:dyDescent="0.25">
      <c r="A485" s="260"/>
      <c r="B485" s="119"/>
      <c r="C485" s="119"/>
      <c r="D485" s="119"/>
      <c r="E485" s="119"/>
      <c r="F485" s="119"/>
      <c r="G485" s="119"/>
      <c r="H485" s="119"/>
      <c r="I485" s="119"/>
      <c r="J485" s="119"/>
      <c r="K485" s="119"/>
      <c r="L485" s="119">
        <v>1.29</v>
      </c>
      <c r="M485" s="119">
        <v>1.57</v>
      </c>
      <c r="N485" s="119"/>
      <c r="O485" s="119"/>
      <c r="P485" s="119"/>
      <c r="Q485" s="119"/>
      <c r="R485" s="119"/>
      <c r="S485" s="42">
        <v>2.4</v>
      </c>
      <c r="T485" s="42">
        <f>ROUND((L485*I480+1.3*L485*K480+S485*H480),4)</f>
        <v>578.40750000000003</v>
      </c>
      <c r="U485" s="42">
        <f>ROUND((M485*0.9*I480+1.3*M485*0.9*K480+S485*H480),4)</f>
        <v>619.82780000000002</v>
      </c>
      <c r="V485" s="42">
        <f>ROUND((M485*I480+1.3*M485*K480+S485*H480),4)</f>
        <v>672.69749999999999</v>
      </c>
      <c r="W485" s="42">
        <f>ROUND((L485*J480+1.3*L485*N480+S485*G480),4)</f>
        <v>49.23</v>
      </c>
      <c r="X485" s="42">
        <f>ROUND((M485*0.9*J480+1.3*M485*0.9*N480+S485*G480),4)</f>
        <v>52.551000000000002</v>
      </c>
      <c r="Y485" s="42">
        <f>ROUND((M485*J480+1.3*M485*N480+S485*G480),4)</f>
        <v>56.79</v>
      </c>
      <c r="Z485" s="298">
        <f>ROUND((P480*T485*F480*O480/1000000),4)</f>
        <v>0.1041</v>
      </c>
      <c r="AA485" s="298">
        <f>ROUND((Q480*U485*F480*O480/1000000),4)</f>
        <v>5.5800000000000002E-2</v>
      </c>
      <c r="AB485" s="298">
        <f>ROUND((R480*V485*F480*O480/1000000),4)</f>
        <v>6.0499999999999998E-2</v>
      </c>
      <c r="AC485" s="277" t="s">
        <v>157</v>
      </c>
      <c r="AD485" s="278" t="s">
        <v>153</v>
      </c>
      <c r="AE485" s="40">
        <f>ROUND((((X485*E480)/1800)),4)</f>
        <v>2.92E-2</v>
      </c>
      <c r="AF485" s="40">
        <f>ROUND(((Z485+AA485+AB485)),4)</f>
        <v>0.22040000000000001</v>
      </c>
      <c r="AG485" s="254"/>
      <c r="AH485" s="254"/>
    </row>
    <row r="486" spans="1:34" s="61" customFormat="1" ht="15" customHeight="1" x14ac:dyDescent="0.25">
      <c r="A486" s="260"/>
      <c r="B486" s="1639" t="s">
        <v>1016</v>
      </c>
      <c r="C486" s="38">
        <v>3</v>
      </c>
      <c r="D486" s="38" t="s">
        <v>579</v>
      </c>
      <c r="E486" s="38">
        <v>2</v>
      </c>
      <c r="F486" s="38">
        <v>15</v>
      </c>
      <c r="G486" s="38">
        <v>6</v>
      </c>
      <c r="H486" s="38">
        <v>60</v>
      </c>
      <c r="I486" s="38">
        <f>(8-1-0.75*2)*60*F486-K486-8*0.12*60</f>
        <v>1674.9</v>
      </c>
      <c r="J486" s="38">
        <v>14</v>
      </c>
      <c r="K486" s="38">
        <f>(8-1-0.75*2)*0.65*60*F486</f>
        <v>3217.5</v>
      </c>
      <c r="L486" s="38">
        <v>1.49</v>
      </c>
      <c r="M486" s="38">
        <v>1.49</v>
      </c>
      <c r="N486" s="38">
        <v>10</v>
      </c>
      <c r="O486" s="38">
        <f>E486/F486</f>
        <v>0.13333333333333333</v>
      </c>
      <c r="P486" s="38">
        <v>180</v>
      </c>
      <c r="Q486" s="38">
        <v>90</v>
      </c>
      <c r="R486" s="275">
        <v>90</v>
      </c>
      <c r="S486" s="275">
        <v>0.28999999999999998</v>
      </c>
      <c r="T486" s="38">
        <f>ROUND((L486*I486+1.3*L486*K486+S486*H486),4)</f>
        <v>8745.2985000000008</v>
      </c>
      <c r="U486" s="38">
        <f>ROUND((M486*I486+1.3*M486*K486+S486*H486),4)</f>
        <v>8745.2985000000008</v>
      </c>
      <c r="V486" s="38">
        <f>ROUND((M486*I486+1.3*M486*K486+S486*H486),4)</f>
        <v>8745.2985000000008</v>
      </c>
      <c r="W486" s="38">
        <f>ROUND((L486*J486+1.3*L486*N486+S486*G486),4)</f>
        <v>41.97</v>
      </c>
      <c r="X486" s="38">
        <f>ROUND((M486*J486+1.3*M486*N486+S486*G486),4)</f>
        <v>41.97</v>
      </c>
      <c r="Y486" s="38">
        <f>ROUND((M486*J486+1.3*M486*N486+S486*G486),4)</f>
        <v>41.97</v>
      </c>
      <c r="Z486" s="276">
        <f>ROUND((P486*T486*F486*O486/1000000),4)</f>
        <v>3.1482999999999999</v>
      </c>
      <c r="AA486" s="276">
        <f>ROUND((Q486*U486*F486*O486/1000000),4)</f>
        <v>1.5742</v>
      </c>
      <c r="AB486" s="276">
        <f>ROUND((R486*V486*F486*O486/1000000),4)</f>
        <v>1.5742</v>
      </c>
      <c r="AC486" s="277" t="s">
        <v>165</v>
      </c>
      <c r="AD486" s="278" t="s">
        <v>144</v>
      </c>
      <c r="AE486" s="40">
        <f>ROUND((((X486*E486)/1800)*0.8),4)</f>
        <v>3.73E-2</v>
      </c>
      <c r="AF486" s="40">
        <f>ROUND(((Z486+AA486+AB486)*0.8),4)</f>
        <v>5.0373999999999999</v>
      </c>
      <c r="AG486" s="288"/>
      <c r="AH486" s="288"/>
    </row>
    <row r="487" spans="1:34" s="61" customFormat="1" ht="15" customHeight="1" x14ac:dyDescent="0.25">
      <c r="A487" s="260"/>
      <c r="B487" s="1639"/>
      <c r="C487" s="39"/>
      <c r="D487" s="39"/>
      <c r="E487" s="39"/>
      <c r="F487" s="39"/>
      <c r="G487" s="39"/>
      <c r="H487" s="39"/>
      <c r="I487" s="39"/>
      <c r="J487" s="39"/>
      <c r="K487" s="39"/>
      <c r="L487" s="119"/>
      <c r="M487" s="119"/>
      <c r="N487" s="39"/>
      <c r="O487" s="39"/>
      <c r="P487" s="39"/>
      <c r="Q487" s="39"/>
      <c r="R487" s="39"/>
      <c r="S487" s="281"/>
      <c r="T487" s="39"/>
      <c r="U487" s="39"/>
      <c r="V487" s="39"/>
      <c r="W487" s="39"/>
      <c r="X487" s="39"/>
      <c r="Y487" s="39"/>
      <c r="Z487" s="39"/>
      <c r="AA487" s="39"/>
      <c r="AB487" s="39"/>
      <c r="AC487" s="277" t="s">
        <v>166</v>
      </c>
      <c r="AD487" s="278" t="s">
        <v>167</v>
      </c>
      <c r="AE487" s="40">
        <f>ROUND((((X486*E486)/1800)*0.13),4)</f>
        <v>6.1000000000000004E-3</v>
      </c>
      <c r="AF487" s="40">
        <f>ROUND(((Z486+AA486+AB486)*0.13),4)</f>
        <v>0.81859999999999999</v>
      </c>
      <c r="AG487" s="288"/>
      <c r="AH487" s="288"/>
    </row>
    <row r="488" spans="1:34" s="61" customFormat="1" ht="15" customHeight="1" x14ac:dyDescent="0.25">
      <c r="A488" s="260"/>
      <c r="B488" s="1634" t="s">
        <v>585</v>
      </c>
      <c r="C488" s="283"/>
      <c r="D488" s="283"/>
      <c r="E488" s="39"/>
      <c r="F488" s="39"/>
      <c r="G488" s="39"/>
      <c r="H488" s="39"/>
      <c r="I488" s="39"/>
      <c r="J488" s="39"/>
      <c r="K488" s="39"/>
      <c r="L488" s="40">
        <v>0.12</v>
      </c>
      <c r="M488" s="40">
        <v>0.15</v>
      </c>
      <c r="N488" s="39"/>
      <c r="O488" s="39"/>
      <c r="P488" s="39"/>
      <c r="Q488" s="39"/>
      <c r="R488" s="39"/>
      <c r="S488" s="284">
        <v>5.8000000000000003E-2</v>
      </c>
      <c r="T488" s="38">
        <f>ROUND((L488*I486+1.3*L488*K486+S488*H486),4)</f>
        <v>706.39800000000002</v>
      </c>
      <c r="U488" s="38">
        <f>ROUND((M488*0.9*I486+1.3*M488*0.9*K486+S488*H486),4)</f>
        <v>794.26279999999997</v>
      </c>
      <c r="V488" s="38">
        <f>ROUND((M488*I486+1.3*M488*K486+S488*H486),4)</f>
        <v>882.12750000000005</v>
      </c>
      <c r="W488" s="38">
        <f>ROUND((L488*J486+1.3*L488*N486+S488*G486),4)</f>
        <v>3.5880000000000001</v>
      </c>
      <c r="X488" s="38">
        <f>ROUND((M488*0.9*J486+1.3*M488*0.9*N486+S488*G486),4)</f>
        <v>3.9929999999999999</v>
      </c>
      <c r="Y488" s="38">
        <f>ROUND((M488*J486+1.3*M488*N486+S488*G486),4)</f>
        <v>4.3979999999999997</v>
      </c>
      <c r="Z488" s="276">
        <f>ROUND((P486*T488*F486*O486/1000000),4)</f>
        <v>0.25430000000000003</v>
      </c>
      <c r="AA488" s="276">
        <f>ROUND((Q486*U488*F486*O486/1000000),4)</f>
        <v>0.14299999999999999</v>
      </c>
      <c r="AB488" s="276">
        <f>ROUND((R486*V488*F486*O486/1000000),4)</f>
        <v>0.1588</v>
      </c>
      <c r="AC488" s="277" t="s">
        <v>547</v>
      </c>
      <c r="AD488" s="278" t="s">
        <v>169</v>
      </c>
      <c r="AE488" s="40">
        <f>ROUND((((X488*E486)/1800)),4)</f>
        <v>4.4000000000000003E-3</v>
      </c>
      <c r="AF488" s="40">
        <f>ROUND(((Z488+AA488+AB488)),5)</f>
        <v>0.55610000000000004</v>
      </c>
      <c r="AG488" s="288"/>
      <c r="AH488" s="288"/>
    </row>
    <row r="489" spans="1:34" s="61" customFormat="1" ht="15" customHeight="1" x14ac:dyDescent="0.25">
      <c r="A489" s="260"/>
      <c r="B489" s="1634"/>
      <c r="C489" s="39"/>
      <c r="D489" s="39"/>
      <c r="E489" s="39"/>
      <c r="F489" s="39"/>
      <c r="G489" s="39"/>
      <c r="H489" s="39"/>
      <c r="I489" s="39"/>
      <c r="J489" s="39"/>
      <c r="K489" s="39"/>
      <c r="L489" s="40">
        <v>0.26</v>
      </c>
      <c r="M489" s="40">
        <v>0.31</v>
      </c>
      <c r="N489" s="39"/>
      <c r="O489" s="39"/>
      <c r="P489" s="39"/>
      <c r="Q489" s="39"/>
      <c r="R489" s="39"/>
      <c r="S489" s="285">
        <v>0.18</v>
      </c>
      <c r="T489" s="38">
        <f>ROUND((L489*I486+1.3*L489*K486+S489*H486),4)</f>
        <v>1533.789</v>
      </c>
      <c r="U489" s="38">
        <f>ROUND((M489*0.9*I486+1.3*M489*0.9*K486+S489*H486),4)</f>
        <v>1645.0844</v>
      </c>
      <c r="V489" s="38">
        <f>ROUND((M489*I486+1.3*M489*K486+S489*H486),4)</f>
        <v>1826.6714999999999</v>
      </c>
      <c r="W489" s="38">
        <f>ROUND((L489*J486+1.3*L489*N486+S489*G486),4)</f>
        <v>8.1</v>
      </c>
      <c r="X489" s="38">
        <f>ROUND((M489*0.9*J486+1.3*M489*0.9*N486+S489*G486),4)</f>
        <v>8.6129999999999995</v>
      </c>
      <c r="Y489" s="38">
        <f>ROUND((M489*J486+1.3*N486+S489*G486),4)</f>
        <v>18.420000000000002</v>
      </c>
      <c r="Z489" s="276">
        <f>ROUND((P486*T489*F486*O486/1000000),4)</f>
        <v>0.55220000000000002</v>
      </c>
      <c r="AA489" s="276">
        <f>ROUND((Q486*U489*F486*O486/1000000),4)</f>
        <v>0.29609999999999997</v>
      </c>
      <c r="AB489" s="276">
        <f>ROUND((R486*V489*F486*O486/1000000),4)</f>
        <v>0.32879999999999998</v>
      </c>
      <c r="AC489" s="277" t="s">
        <v>548</v>
      </c>
      <c r="AD489" s="278" t="s">
        <v>549</v>
      </c>
      <c r="AE489" s="40">
        <f>ROUND((((X489*E486)/1800)),4)</f>
        <v>9.5999999999999992E-3</v>
      </c>
      <c r="AF489" s="40">
        <f>ROUND(((Z489+AA489+AB489)),4)</f>
        <v>1.1771</v>
      </c>
      <c r="AG489" s="288"/>
      <c r="AH489" s="288"/>
    </row>
    <row r="490" spans="1:34" s="61" customFormat="1" ht="15" customHeight="1" x14ac:dyDescent="0.25">
      <c r="A490" s="260"/>
      <c r="B490" s="280"/>
      <c r="C490" s="39"/>
      <c r="D490" s="39"/>
      <c r="E490" s="39"/>
      <c r="F490" s="39"/>
      <c r="G490" s="39"/>
      <c r="H490" s="39"/>
      <c r="I490" s="39"/>
      <c r="J490" s="39"/>
      <c r="K490" s="39"/>
      <c r="L490" s="40">
        <v>0.17</v>
      </c>
      <c r="M490" s="40">
        <v>0.25</v>
      </c>
      <c r="N490" s="39"/>
      <c r="O490" s="39"/>
      <c r="P490" s="39"/>
      <c r="Q490" s="39"/>
      <c r="R490" s="39"/>
      <c r="S490" s="285">
        <v>0.04</v>
      </c>
      <c r="T490" s="38">
        <f>ROUND((L490*I486+1.3*L490*K486+S490*H486),4)</f>
        <v>998.20050000000003</v>
      </c>
      <c r="U490" s="38">
        <f>ROUND((M490*0.9*I486+1.3*M490*0.9*K486+S490*H486),4)</f>
        <v>1320.3713</v>
      </c>
      <c r="V490" s="38">
        <f>ROUND((M490*I486+1.3*M490*K486+S490*H486),4)</f>
        <v>1466.8125</v>
      </c>
      <c r="W490" s="38">
        <f>ROUND((L490*J486+1.3*L490*N486+S490*G486),4)</f>
        <v>4.83</v>
      </c>
      <c r="X490" s="38">
        <f>ROUND((M490*0.9*J486+1.3*M490*0.9*N486+S490*G486),4)</f>
        <v>6.3150000000000004</v>
      </c>
      <c r="Y490" s="38">
        <f>ROUND((M490*J486+1.3*M490*N486+S490*G486),4)</f>
        <v>6.99</v>
      </c>
      <c r="Z490" s="276">
        <f>ROUND((P486*T490*F486*O486/1000000),4)</f>
        <v>0.3594</v>
      </c>
      <c r="AA490" s="276">
        <f>ROUND((Q486*U490*F486*O486/1000000),4)</f>
        <v>0.23769999999999999</v>
      </c>
      <c r="AB490" s="276">
        <f>ROUND((R486*V490*F486*O486/1000000),4)</f>
        <v>0.26400000000000001</v>
      </c>
      <c r="AC490" s="277" t="s">
        <v>172</v>
      </c>
      <c r="AD490" s="278" t="s">
        <v>173</v>
      </c>
      <c r="AE490" s="40">
        <f>ROUND((((X490*E486)/1800)),4)</f>
        <v>7.0000000000000001E-3</v>
      </c>
      <c r="AF490" s="40">
        <f>ROUND(((Z490+AA490+AB490)),4)</f>
        <v>0.86109999999999998</v>
      </c>
      <c r="AG490" s="288"/>
      <c r="AH490" s="288"/>
    </row>
    <row r="491" spans="1:34" s="61" customFormat="1" ht="15" customHeight="1" x14ac:dyDescent="0.25">
      <c r="A491" s="260"/>
      <c r="B491" s="286"/>
      <c r="C491" s="119"/>
      <c r="D491" s="119"/>
      <c r="E491" s="119"/>
      <c r="F491" s="119"/>
      <c r="G491" s="119"/>
      <c r="H491" s="119"/>
      <c r="I491" s="119"/>
      <c r="J491" s="119"/>
      <c r="K491" s="119"/>
      <c r="L491" s="40">
        <v>0.77</v>
      </c>
      <c r="M491" s="40">
        <v>0.94</v>
      </c>
      <c r="N491" s="119"/>
      <c r="O491" s="119"/>
      <c r="P491" s="119"/>
      <c r="Q491" s="119"/>
      <c r="R491" s="119"/>
      <c r="S491" s="285">
        <v>1.44</v>
      </c>
      <c r="T491" s="38">
        <f>ROUND((L491*I486+1.3*L491*K486+S491*H486),4)</f>
        <v>4596.7905000000001</v>
      </c>
      <c r="U491" s="38">
        <f>ROUND((M491*0.9*I486+1.3*M491*0.9*K486+S491*H486),4)</f>
        <v>5041.9718999999996</v>
      </c>
      <c r="V491" s="38">
        <f>ROUND((M491*I486+1.3*M491*K486+S491*H486),4)</f>
        <v>5592.5910000000003</v>
      </c>
      <c r="W491" s="38">
        <f>ROUND((L491*J486+1.3*L491*N486+S491*G486),4)</f>
        <v>29.43</v>
      </c>
      <c r="X491" s="38">
        <f>ROUND((M491*0.9*J486+1.3*M491*0.9*N486+S491*G486),4)</f>
        <v>31.481999999999999</v>
      </c>
      <c r="Y491" s="38">
        <f>ROUND((M491*J486+1.3*M491*N486+S491*G486),4)</f>
        <v>34.020000000000003</v>
      </c>
      <c r="Z491" s="276">
        <f>ROUND((P486*T491*F486*O486/1000000),4)</f>
        <v>1.6548</v>
      </c>
      <c r="AA491" s="276">
        <f>ROUND((Q486*U491*F486*O486/1000000),4)</f>
        <v>0.90759999999999996</v>
      </c>
      <c r="AB491" s="276">
        <f>ROUND((R486*V491*F486*O486/1000000),4)</f>
        <v>1.0066999999999999</v>
      </c>
      <c r="AC491" s="277" t="s">
        <v>157</v>
      </c>
      <c r="AD491" s="278" t="s">
        <v>153</v>
      </c>
      <c r="AE491" s="40">
        <f>ROUND((((X491*E486)/1800)),4)</f>
        <v>3.5000000000000003E-2</v>
      </c>
      <c r="AF491" s="40">
        <f>ROUND(((Z491+AA491+AB491)),4)</f>
        <v>3.5691000000000002</v>
      </c>
      <c r="AG491" s="288"/>
      <c r="AH491" s="288"/>
    </row>
    <row r="492" spans="1:34" s="61" customFormat="1" ht="15" customHeight="1" x14ac:dyDescent="0.25">
      <c r="A492" s="260"/>
      <c r="B492" s="274" t="s">
        <v>586</v>
      </c>
      <c r="C492" s="274">
        <v>6</v>
      </c>
      <c r="D492" s="38" t="s">
        <v>556</v>
      </c>
      <c r="E492" s="38">
        <v>1</v>
      </c>
      <c r="F492" s="38">
        <v>4</v>
      </c>
      <c r="G492" s="38">
        <v>6</v>
      </c>
      <c r="H492" s="38">
        <v>60</v>
      </c>
      <c r="I492" s="38">
        <f>(8-1-0.75*2)*60*F492-K492-8*0.12*60</f>
        <v>404.4</v>
      </c>
      <c r="J492" s="38">
        <v>14</v>
      </c>
      <c r="K492" s="38">
        <f>(8-1-0.75*2)*0.65*60*F492</f>
        <v>858</v>
      </c>
      <c r="L492" s="38">
        <v>6.47</v>
      </c>
      <c r="M492" s="38">
        <v>6.47</v>
      </c>
      <c r="N492" s="38">
        <v>10</v>
      </c>
      <c r="O492" s="38">
        <f>E492/F492</f>
        <v>0.25</v>
      </c>
      <c r="P492" s="38">
        <v>180</v>
      </c>
      <c r="Q492" s="38">
        <v>90</v>
      </c>
      <c r="R492" s="275">
        <v>90</v>
      </c>
      <c r="S492" s="275">
        <v>1.27</v>
      </c>
      <c r="T492" s="38">
        <f>ROUND((L492*I492+1.3*L492*K492+S492*H492),4)</f>
        <v>9909.3060000000005</v>
      </c>
      <c r="U492" s="38">
        <f>ROUND((M492*I492+1.3*M492*K492+S492*H492),4)</f>
        <v>9909.3060000000005</v>
      </c>
      <c r="V492" s="38">
        <f>ROUND((M492*I492+1.3*M492*K492+S492*H492),4)</f>
        <v>9909.3060000000005</v>
      </c>
      <c r="W492" s="38">
        <f>ROUND((L492*J492+1.3*L492*N492+S492*G492),4)</f>
        <v>182.31</v>
      </c>
      <c r="X492" s="38">
        <f>ROUND((M492*J492+1.3*M492*N492+S492*G492),4)</f>
        <v>182.31</v>
      </c>
      <c r="Y492" s="38">
        <f>ROUND((M492*J492+1.3*M492*N492+S492*G492),4)</f>
        <v>182.31</v>
      </c>
      <c r="Z492" s="276">
        <f>ROUND((P492*T492*F492*O492/1000000),4)</f>
        <v>1.7837000000000001</v>
      </c>
      <c r="AA492" s="276">
        <f>ROUND((Q492*U492*F492*O492/1000000),4)</f>
        <v>0.89180000000000004</v>
      </c>
      <c r="AB492" s="276">
        <f>ROUND((R492*V492*F492*O492/1000000),4)</f>
        <v>0.89180000000000004</v>
      </c>
      <c r="AC492" s="277" t="s">
        <v>165</v>
      </c>
      <c r="AD492" s="278" t="s">
        <v>144</v>
      </c>
      <c r="AE492" s="40">
        <f>ROUND((((X492*E492)/1800)*0.8),4)</f>
        <v>8.1000000000000003E-2</v>
      </c>
      <c r="AF492" s="40">
        <f>ROUND(((Z492+AA492+AB492)*0.8),4)</f>
        <v>2.8538000000000001</v>
      </c>
      <c r="AG492" s="254"/>
      <c r="AH492" s="254"/>
    </row>
    <row r="493" spans="1:34" s="61" customFormat="1" ht="15" customHeight="1" x14ac:dyDescent="0.25">
      <c r="A493" s="260"/>
      <c r="B493" s="280" t="s">
        <v>587</v>
      </c>
      <c r="C493" s="39"/>
      <c r="D493" s="39"/>
      <c r="E493" s="39"/>
      <c r="F493" s="39"/>
      <c r="G493" s="39"/>
      <c r="H493" s="39"/>
      <c r="I493" s="39"/>
      <c r="J493" s="39"/>
      <c r="K493" s="39"/>
      <c r="L493" s="119"/>
      <c r="M493" s="119"/>
      <c r="N493" s="39"/>
      <c r="O493" s="39"/>
      <c r="P493" s="39"/>
      <c r="Q493" s="39"/>
      <c r="R493" s="39"/>
      <c r="S493" s="281"/>
      <c r="T493" s="39"/>
      <c r="U493" s="39"/>
      <c r="V493" s="39"/>
      <c r="W493" s="39"/>
      <c r="X493" s="39"/>
      <c r="Y493" s="39"/>
      <c r="Z493" s="39"/>
      <c r="AA493" s="39"/>
      <c r="AB493" s="39"/>
      <c r="AC493" s="277" t="s">
        <v>166</v>
      </c>
      <c r="AD493" s="278" t="s">
        <v>167</v>
      </c>
      <c r="AE493" s="40">
        <f>ROUND((((X492*E492)/1800)*0.13),4)</f>
        <v>1.32E-2</v>
      </c>
      <c r="AF493" s="40">
        <f>ROUND(((Z492+AA492+AB492)*0.13),4)</f>
        <v>0.4637</v>
      </c>
      <c r="AG493" s="254"/>
      <c r="AH493" s="254"/>
    </row>
    <row r="494" spans="1:34" s="61" customFormat="1" ht="15" customHeight="1" x14ac:dyDescent="0.25">
      <c r="A494" s="260"/>
      <c r="B494" s="287"/>
      <c r="C494" s="283"/>
      <c r="D494" s="283"/>
      <c r="E494" s="39"/>
      <c r="F494" s="39"/>
      <c r="G494" s="39"/>
      <c r="H494" s="39"/>
      <c r="I494" s="39"/>
      <c r="J494" s="39"/>
      <c r="K494" s="39"/>
      <c r="L494" s="40">
        <v>0.51</v>
      </c>
      <c r="M494" s="40">
        <v>0.63</v>
      </c>
      <c r="N494" s="39"/>
      <c r="O494" s="39"/>
      <c r="P494" s="39"/>
      <c r="Q494" s="39"/>
      <c r="R494" s="39"/>
      <c r="S494" s="284">
        <v>0.25</v>
      </c>
      <c r="T494" s="38">
        <f>ROUND((L494*I492+1.3*L494*K492+S494*H492),4)</f>
        <v>790.09799999999996</v>
      </c>
      <c r="U494" s="38">
        <f>ROUND((M494*0.9*I492+1.3*M494*0.9*K492+S494*H492),4)</f>
        <v>876.72659999999996</v>
      </c>
      <c r="V494" s="38">
        <f>ROUND((M494*I492+1.3*M494*K492+S494*H492),4)</f>
        <v>972.47400000000005</v>
      </c>
      <c r="W494" s="38">
        <f>ROUND((L494*J492+1.3*L494*N492+S494*G492),4)</f>
        <v>15.27</v>
      </c>
      <c r="X494" s="38">
        <f>ROUND((M494*0.9*J492+1.3*M494*0.9*N492+S494*G492),4)</f>
        <v>16.809000000000001</v>
      </c>
      <c r="Y494" s="38">
        <f>ROUND((M494*J492+1.3*M494*N492+S494*G492),4)</f>
        <v>18.510000000000002</v>
      </c>
      <c r="Z494" s="276">
        <f>ROUND((P492*T494*F492*O492/1000000),4)</f>
        <v>0.14219999999999999</v>
      </c>
      <c r="AA494" s="276">
        <f>ROUND((Q492*U494*F492*O492/1000000),4)</f>
        <v>7.8899999999999998E-2</v>
      </c>
      <c r="AB494" s="276">
        <f>ROUND((R492*V494*F492*O492/1000000),4)</f>
        <v>8.7499999999999994E-2</v>
      </c>
      <c r="AC494" s="277" t="s">
        <v>547</v>
      </c>
      <c r="AD494" s="278" t="s">
        <v>169</v>
      </c>
      <c r="AE494" s="40">
        <f>ROUND((((X494*E492)/1800)),4)</f>
        <v>9.2999999999999992E-3</v>
      </c>
      <c r="AF494" s="40">
        <f>ROUND(((Z494+AA494+AB494)),5)</f>
        <v>0.30859999999999999</v>
      </c>
      <c r="AG494" s="254"/>
      <c r="AH494" s="254"/>
    </row>
    <row r="495" spans="1:34" s="61" customFormat="1" ht="15" customHeight="1" x14ac:dyDescent="0.25">
      <c r="A495" s="260"/>
      <c r="B495" s="280"/>
      <c r="C495" s="39"/>
      <c r="D495" s="39"/>
      <c r="E495" s="39"/>
      <c r="F495" s="39"/>
      <c r="G495" s="39"/>
      <c r="H495" s="39"/>
      <c r="I495" s="39"/>
      <c r="J495" s="39"/>
      <c r="K495" s="39"/>
      <c r="L495" s="40">
        <v>1.1399999999999999</v>
      </c>
      <c r="M495" s="40">
        <v>1.37</v>
      </c>
      <c r="N495" s="39"/>
      <c r="O495" s="39"/>
      <c r="P495" s="39"/>
      <c r="Q495" s="39"/>
      <c r="R495" s="39"/>
      <c r="S495" s="285">
        <v>0.79</v>
      </c>
      <c r="T495" s="38">
        <f>ROUND((L495*I492+1.3*L495*K492+S495*H492),4)</f>
        <v>1779.972</v>
      </c>
      <c r="U495" s="38">
        <f>ROUND((M495*0.9*I492+1.3*M495*0.9*K492+S495*H492),4)</f>
        <v>1921.3134</v>
      </c>
      <c r="V495" s="38">
        <f>ROUND((M495*I492+1.3*M495*K492+S495*H492),4)</f>
        <v>2129.5259999999998</v>
      </c>
      <c r="W495" s="38">
        <f>ROUND((L495*J492+1.3*L495*N492+S495*G492),4)</f>
        <v>35.520000000000003</v>
      </c>
      <c r="X495" s="38">
        <f>ROUND((M495*0.9*J492+1.3*M495*0.9*N492+S495*G492),4)</f>
        <v>38.030999999999999</v>
      </c>
      <c r="Y495" s="38">
        <f>ROUND((M495*J492+1.3*N492+S495*G492),4)</f>
        <v>36.92</v>
      </c>
      <c r="Z495" s="276">
        <f>ROUND((P492*T495*F492*O492/1000000),4)</f>
        <v>0.32040000000000002</v>
      </c>
      <c r="AA495" s="276">
        <f>ROUND((Q492*U495*F492*O492/1000000),4)</f>
        <v>0.1729</v>
      </c>
      <c r="AB495" s="276">
        <f>ROUND((R492*V495*F492*O492/1000000),4)</f>
        <v>0.19170000000000001</v>
      </c>
      <c r="AC495" s="277" t="s">
        <v>548</v>
      </c>
      <c r="AD495" s="278" t="s">
        <v>549</v>
      </c>
      <c r="AE495" s="40">
        <f>ROUND((((X495*E492)/1800)),4)</f>
        <v>2.1100000000000001E-2</v>
      </c>
      <c r="AF495" s="40">
        <f>ROUND(((Z495+AA495+AB495)),4)</f>
        <v>0.68500000000000005</v>
      </c>
      <c r="AG495" s="254"/>
      <c r="AH495" s="254"/>
    </row>
    <row r="496" spans="1:34" s="61" customFormat="1" ht="15" customHeight="1" x14ac:dyDescent="0.25">
      <c r="A496" s="260"/>
      <c r="B496" s="280"/>
      <c r="C496" s="39"/>
      <c r="D496" s="39"/>
      <c r="E496" s="39"/>
      <c r="F496" s="39"/>
      <c r="G496" s="39"/>
      <c r="H496" s="39"/>
      <c r="I496" s="39"/>
      <c r="J496" s="39"/>
      <c r="K496" s="39"/>
      <c r="L496" s="40">
        <v>0.72</v>
      </c>
      <c r="M496" s="40">
        <v>1.08</v>
      </c>
      <c r="N496" s="39"/>
      <c r="O496" s="39"/>
      <c r="P496" s="39"/>
      <c r="Q496" s="39"/>
      <c r="R496" s="39"/>
      <c r="S496" s="285">
        <v>0.17</v>
      </c>
      <c r="T496" s="38">
        <f>ROUND((L496*I492+1.3*L496*K492+S496*H492),4)</f>
        <v>1104.4559999999999</v>
      </c>
      <c r="U496" s="38">
        <f>ROUND((M496*0.9*I492+1.3*M496*0.9*K492+S496*H492),4)</f>
        <v>1487.4456</v>
      </c>
      <c r="V496" s="38">
        <f>ROUND((M496*I492+1.3*M496*K492+S496*H492),4)</f>
        <v>1651.5840000000001</v>
      </c>
      <c r="W496" s="38">
        <f>ROUND((L496*J492+1.3*L496*N492+S496*G492),4)</f>
        <v>20.46</v>
      </c>
      <c r="X496" s="38">
        <f>ROUND((M496*0.9*J492+1.3*M496*0.9*N492+S496*G492),4)</f>
        <v>27.263999999999999</v>
      </c>
      <c r="Y496" s="38">
        <f>ROUND((M496*J492+1.3*M496*N492+S496*G492),4)</f>
        <v>30.18</v>
      </c>
      <c r="Z496" s="276">
        <f>ROUND((P492*T496*F492*O492/1000000),4)</f>
        <v>0.1988</v>
      </c>
      <c r="AA496" s="276">
        <f>ROUND((Q492*U496*F492*O492/1000000),4)</f>
        <v>0.13389999999999999</v>
      </c>
      <c r="AB496" s="276">
        <f>ROUND((R492*V496*F492*O492/1000000),4)</f>
        <v>0.14860000000000001</v>
      </c>
      <c r="AC496" s="277" t="s">
        <v>172</v>
      </c>
      <c r="AD496" s="278" t="s">
        <v>173</v>
      </c>
      <c r="AE496" s="40">
        <f>ROUND((((X496*E492)/1800)),4)</f>
        <v>1.5100000000000001E-2</v>
      </c>
      <c r="AF496" s="40">
        <f>ROUND(((Z496+AA496+AB496)),4)</f>
        <v>0.48130000000000001</v>
      </c>
      <c r="AG496" s="254"/>
      <c r="AH496" s="254"/>
    </row>
    <row r="497" spans="1:34" s="61" customFormat="1" ht="15" customHeight="1" x14ac:dyDescent="0.25">
      <c r="A497" s="260"/>
      <c r="B497" s="286"/>
      <c r="C497" s="119"/>
      <c r="D497" s="119"/>
      <c r="E497" s="119"/>
      <c r="F497" s="119"/>
      <c r="G497" s="119"/>
      <c r="H497" s="119"/>
      <c r="I497" s="119"/>
      <c r="J497" s="119"/>
      <c r="K497" s="119"/>
      <c r="L497" s="40">
        <v>3.37</v>
      </c>
      <c r="M497" s="40">
        <v>4.1100000000000003</v>
      </c>
      <c r="N497" s="119"/>
      <c r="O497" s="119"/>
      <c r="P497" s="119"/>
      <c r="Q497" s="119"/>
      <c r="R497" s="119"/>
      <c r="S497" s="285">
        <v>6.31</v>
      </c>
      <c r="T497" s="38">
        <f>ROUND((L497*I492+1.3*L497*K492+S497*H492),4)</f>
        <v>5500.326</v>
      </c>
      <c r="U497" s="38">
        <f>ROUND((M497*0.9*I492+1.3*M497*0.9*K492+S497*H492),4)</f>
        <v>6000.3401999999996</v>
      </c>
      <c r="V497" s="38">
        <f>ROUND((M497*I492+1.3*M497*K492+S497*H492),4)</f>
        <v>6624.9780000000001</v>
      </c>
      <c r="W497" s="38">
        <f>ROUND((L497*J492+1.3*L497*N492+S497*G492),4)</f>
        <v>128.85</v>
      </c>
      <c r="X497" s="38">
        <f>ROUND((M497*0.9*J492+1.3*M497*0.9*N492+S497*G492),4)</f>
        <v>137.733</v>
      </c>
      <c r="Y497" s="38">
        <f>ROUND((M497*J492+1.3*M497*N492+S497*G492),4)</f>
        <v>148.83000000000001</v>
      </c>
      <c r="Z497" s="276">
        <f>ROUND((P492*T497*F492*O492/1000000),4)</f>
        <v>0.99009999999999998</v>
      </c>
      <c r="AA497" s="276">
        <f>ROUND((Q492*U497*F492*O492/1000000),4)</f>
        <v>0.54</v>
      </c>
      <c r="AB497" s="276">
        <f>ROUND((R492*V497*F492*O492/1000000),4)</f>
        <v>0.59619999999999995</v>
      </c>
      <c r="AC497" s="277" t="s">
        <v>157</v>
      </c>
      <c r="AD497" s="278" t="s">
        <v>153</v>
      </c>
      <c r="AE497" s="40">
        <f>ROUND((((X497*E492)/1800)),4)</f>
        <v>7.6499999999999999E-2</v>
      </c>
      <c r="AF497" s="40">
        <f>ROUND(((Z497+AA497+AB497)),4)</f>
        <v>2.1263000000000001</v>
      </c>
      <c r="AG497" s="254"/>
      <c r="AH497" s="254"/>
    </row>
    <row r="498" spans="1:34" s="61" customFormat="1" ht="15" customHeight="1" x14ac:dyDescent="0.25">
      <c r="A498" s="260"/>
      <c r="B498" s="274" t="s">
        <v>586</v>
      </c>
      <c r="C498" s="38">
        <v>4</v>
      </c>
      <c r="D498" s="38" t="s">
        <v>545</v>
      </c>
      <c r="E498" s="38">
        <v>1</v>
      </c>
      <c r="F498" s="38">
        <v>5</v>
      </c>
      <c r="G498" s="38">
        <v>6</v>
      </c>
      <c r="H498" s="38">
        <v>60</v>
      </c>
      <c r="I498" s="38">
        <f>(8-1-0.75*2)*60*F498-K498-8*0.12*60</f>
        <v>519.9</v>
      </c>
      <c r="J498" s="38">
        <v>14</v>
      </c>
      <c r="K498" s="38">
        <f>(8-1-0.75*2)*0.65*60*F498</f>
        <v>1072.5</v>
      </c>
      <c r="L498" s="38">
        <v>2.4700000000000002</v>
      </c>
      <c r="M498" s="38">
        <v>2.4700000000000002</v>
      </c>
      <c r="N498" s="38">
        <v>10</v>
      </c>
      <c r="O498" s="38">
        <f>E498/F498</f>
        <v>0.2</v>
      </c>
      <c r="P498" s="38">
        <v>180</v>
      </c>
      <c r="Q498" s="38">
        <v>90</v>
      </c>
      <c r="R498" s="275">
        <v>90</v>
      </c>
      <c r="S498" s="38">
        <v>0.48</v>
      </c>
      <c r="T498" s="38">
        <f>ROUND((L498*I498+1.3*L498*K498+S498*H498),4)</f>
        <v>4756.7505000000001</v>
      </c>
      <c r="U498" s="38">
        <f>ROUND((M498*I498+1.3*M498*K498+S498*H498),4)</f>
        <v>4756.7505000000001</v>
      </c>
      <c r="V498" s="38">
        <f>ROUND((M498*I498+1.3*M498*K498+S498*H498),4)</f>
        <v>4756.7505000000001</v>
      </c>
      <c r="W498" s="38">
        <f>ROUND((L498*J498+1.3*L498*N498+S498*G498),4)</f>
        <v>69.569999999999993</v>
      </c>
      <c r="X498" s="38">
        <f>ROUND((M498*J498+1.3*M498*N498+S498*G498),4)</f>
        <v>69.569999999999993</v>
      </c>
      <c r="Y498" s="38">
        <f>ROUND((M498*J498+1.3*M498*N498+S498*G498),4)</f>
        <v>69.569999999999993</v>
      </c>
      <c r="Z498" s="276">
        <f>ROUND((P498*T498*F498*O498/1000000),4)</f>
        <v>0.85619999999999996</v>
      </c>
      <c r="AA498" s="276">
        <f>ROUND((Q498*U498*F498*O498/1000000),4)</f>
        <v>0.42809999999999998</v>
      </c>
      <c r="AB498" s="276">
        <f>ROUND((R498*V498*F498*O498/1000000),4)</f>
        <v>0.42809999999999998</v>
      </c>
      <c r="AC498" s="277" t="s">
        <v>165</v>
      </c>
      <c r="AD498" s="278" t="s">
        <v>144</v>
      </c>
      <c r="AE498" s="40">
        <f>ROUND((((X498*E498)/1800)*0.8),4)</f>
        <v>3.09E-2</v>
      </c>
      <c r="AF498" s="40">
        <f>ROUND(((Z498+AA498+AB498)*0.8),4)</f>
        <v>1.3698999999999999</v>
      </c>
      <c r="AG498" s="254"/>
      <c r="AH498" s="254"/>
    </row>
    <row r="499" spans="1:34" s="61" customFormat="1" ht="15" customHeight="1" x14ac:dyDescent="0.25">
      <c r="A499" s="260"/>
      <c r="B499" s="280" t="s">
        <v>588</v>
      </c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296"/>
      <c r="T499" s="39"/>
      <c r="U499" s="39"/>
      <c r="V499" s="39"/>
      <c r="W499" s="39"/>
      <c r="X499" s="39"/>
      <c r="Y499" s="39"/>
      <c r="Z499" s="39"/>
      <c r="AA499" s="39"/>
      <c r="AB499" s="39"/>
      <c r="AC499" s="277" t="s">
        <v>166</v>
      </c>
      <c r="AD499" s="278" t="s">
        <v>167</v>
      </c>
      <c r="AE499" s="40">
        <f>ROUND((((X498*E498)/1800)*0.13),4)</f>
        <v>5.0000000000000001E-3</v>
      </c>
      <c r="AF499" s="40">
        <f>ROUND(((Z498+AA498+AB498)*0.13),4)</f>
        <v>0.22259999999999999</v>
      </c>
      <c r="AG499" s="254"/>
      <c r="AH499" s="254"/>
    </row>
    <row r="500" spans="1:34" s="61" customFormat="1" ht="15" customHeight="1" x14ac:dyDescent="0.25">
      <c r="A500" s="260"/>
      <c r="B500" s="280"/>
      <c r="C500" s="283"/>
      <c r="D500" s="283"/>
      <c r="E500" s="39"/>
      <c r="F500" s="39"/>
      <c r="G500" s="39"/>
      <c r="H500" s="39"/>
      <c r="I500" s="39"/>
      <c r="J500" s="39"/>
      <c r="K500" s="39"/>
      <c r="L500" s="39">
        <v>0.19</v>
      </c>
      <c r="M500" s="39">
        <v>0.23</v>
      </c>
      <c r="N500" s="39"/>
      <c r="O500" s="39"/>
      <c r="P500" s="39"/>
      <c r="Q500" s="39"/>
      <c r="R500" s="39"/>
      <c r="S500" s="42">
        <v>9.7000000000000003E-2</v>
      </c>
      <c r="T500" s="38">
        <f>ROUND((L500*I498+1.3*L500*K498+S500*H498),4)</f>
        <v>369.50850000000003</v>
      </c>
      <c r="U500" s="38">
        <f>ROUND((M500*0.9*I498+1.3*M500*0.9*K498+S500*H498),4)</f>
        <v>402.04910000000001</v>
      </c>
      <c r="V500" s="38">
        <f>ROUND((M500*I498+1.3*M500*K498+S500*H498),4)</f>
        <v>446.0745</v>
      </c>
      <c r="W500" s="38">
        <f>ROUND((L500*J498+1.3*L500*N498+S500*G498),4)</f>
        <v>5.7119999999999997</v>
      </c>
      <c r="X500" s="38">
        <f>ROUND((M500*0.9*J498+1.3*M500*0.9*N498+S500*G498),4)</f>
        <v>6.1710000000000003</v>
      </c>
      <c r="Y500" s="38">
        <f>ROUND((M500*J498+1.3*M500*N498+S500*G498),4)</f>
        <v>6.7919999999999998</v>
      </c>
      <c r="Z500" s="276">
        <f>ROUND((P498*T500*F498*O498/1000000),4)</f>
        <v>6.6500000000000004E-2</v>
      </c>
      <c r="AA500" s="276">
        <f>ROUND((Q498*U500*F498*O498/1000000),4)</f>
        <v>3.6200000000000003E-2</v>
      </c>
      <c r="AB500" s="276">
        <f>ROUND((R498*V500*F498*O498/1000000),4)</f>
        <v>4.0099999999999997E-2</v>
      </c>
      <c r="AC500" s="277" t="s">
        <v>547</v>
      </c>
      <c r="AD500" s="278" t="s">
        <v>169</v>
      </c>
      <c r="AE500" s="40">
        <f>ROUND((((X500*E498)/1800)),4)</f>
        <v>3.3999999999999998E-3</v>
      </c>
      <c r="AF500" s="40">
        <f>ROUND(((Z500+AA500+AB500)),5)</f>
        <v>0.14280000000000001</v>
      </c>
      <c r="AG500" s="254"/>
      <c r="AH500" s="254"/>
    </row>
    <row r="501" spans="1:34" s="61" customFormat="1" ht="15" customHeight="1" x14ac:dyDescent="0.25">
      <c r="A501" s="260"/>
      <c r="B501" s="297"/>
      <c r="C501" s="39"/>
      <c r="D501" s="39"/>
      <c r="E501" s="39"/>
      <c r="F501" s="39"/>
      <c r="G501" s="39"/>
      <c r="H501" s="39"/>
      <c r="I501" s="39"/>
      <c r="J501" s="39"/>
      <c r="K501" s="39"/>
      <c r="L501" s="39">
        <v>0.43</v>
      </c>
      <c r="M501" s="39">
        <v>0.51</v>
      </c>
      <c r="N501" s="39"/>
      <c r="O501" s="39"/>
      <c r="P501" s="39"/>
      <c r="Q501" s="39"/>
      <c r="R501" s="39"/>
      <c r="S501" s="42">
        <v>0.3</v>
      </c>
      <c r="T501" s="38">
        <f>ROUND((L501*I498+1.3*L501*K498+S501*H498),4)</f>
        <v>841.08450000000005</v>
      </c>
      <c r="U501" s="38">
        <f>ROUND((M501*0.9*I498+1.3*M501*0.9*K498+S501*H498),4)</f>
        <v>896.59490000000005</v>
      </c>
      <c r="V501" s="38">
        <f>ROUND((M501*I498+1.3*M501*K498+S501*H498),4)</f>
        <v>994.2165</v>
      </c>
      <c r="W501" s="38">
        <f>ROUND((L501*J498+1.3*L501*N498+S501*G498),4)</f>
        <v>13.41</v>
      </c>
      <c r="X501" s="38">
        <f>ROUND((M501*0.9*J498+1.3*M501*0.9*N498+S501*G498),4)</f>
        <v>14.193</v>
      </c>
      <c r="Y501" s="38">
        <f>ROUND((M501*J498+1.3*N498+S501*G498),4)</f>
        <v>21.94</v>
      </c>
      <c r="Z501" s="276">
        <f>ROUND((P498*T501*F498*O498/1000000),4)</f>
        <v>0.15140000000000001</v>
      </c>
      <c r="AA501" s="276">
        <f>ROUND((Q498*U501*F498*O498/1000000),4)</f>
        <v>8.0699999999999994E-2</v>
      </c>
      <c r="AB501" s="276">
        <f>ROUND((R498*V501*F498*O498/1000000),4)</f>
        <v>8.9499999999999996E-2</v>
      </c>
      <c r="AC501" s="277" t="s">
        <v>548</v>
      </c>
      <c r="AD501" s="278" t="s">
        <v>549</v>
      </c>
      <c r="AE501" s="40">
        <f>ROUND((((X501*E498)/1800)),4)</f>
        <v>7.9000000000000008E-3</v>
      </c>
      <c r="AF501" s="40">
        <f>ROUND(((Z501+AA501+AB501)),4)</f>
        <v>0.3216</v>
      </c>
      <c r="AG501" s="254"/>
      <c r="AH501" s="254"/>
    </row>
    <row r="502" spans="1:34" s="61" customFormat="1" ht="15" customHeight="1" x14ac:dyDescent="0.25">
      <c r="A502" s="260"/>
      <c r="B502" s="280"/>
      <c r="C502" s="39"/>
      <c r="D502" s="39"/>
      <c r="E502" s="39"/>
      <c r="F502" s="39"/>
      <c r="G502" s="39"/>
      <c r="H502" s="39"/>
      <c r="I502" s="39"/>
      <c r="J502" s="39"/>
      <c r="K502" s="39"/>
      <c r="L502" s="39">
        <v>0.27</v>
      </c>
      <c r="M502" s="39">
        <v>0.41</v>
      </c>
      <c r="N502" s="39"/>
      <c r="O502" s="39"/>
      <c r="P502" s="39"/>
      <c r="Q502" s="39"/>
      <c r="R502" s="39"/>
      <c r="S502" s="42">
        <v>0.06</v>
      </c>
      <c r="T502" s="38">
        <f>ROUND((L502*I498+1.3*L502*K498+S502*H498),4)</f>
        <v>520.42049999999995</v>
      </c>
      <c r="U502" s="38">
        <f>ROUND((M502*0.9*I498+1.3*M502*0.9*K498+S502*H498),4)</f>
        <v>709.92139999999995</v>
      </c>
      <c r="V502" s="38">
        <f>ROUND((M502*I498+1.3*M502*K498+S502*H498),4)</f>
        <v>788.40150000000006</v>
      </c>
      <c r="W502" s="38">
        <f>ROUND((L502*J498+1.3*L502*N498+S502*G498),4)</f>
        <v>7.65</v>
      </c>
      <c r="X502" s="38">
        <f>ROUND((M502*0.9*J498+1.3*M502*0.9*N498+S502*G498),4)</f>
        <v>10.323</v>
      </c>
      <c r="Y502" s="38">
        <f>ROUND((M502*J498+1.3*M502*N498+S502*G498),4)</f>
        <v>11.43</v>
      </c>
      <c r="Z502" s="276">
        <f>ROUND((P498*T502*F498*O498/1000000),4)</f>
        <v>9.3700000000000006E-2</v>
      </c>
      <c r="AA502" s="276">
        <f>ROUND((Q498*U502*F498*O498/1000000),4)</f>
        <v>6.3899999999999998E-2</v>
      </c>
      <c r="AB502" s="276">
        <f>ROUND((R498*V502*F498*O498/1000000),4)</f>
        <v>7.0999999999999994E-2</v>
      </c>
      <c r="AC502" s="277" t="s">
        <v>172</v>
      </c>
      <c r="AD502" s="278" t="s">
        <v>173</v>
      </c>
      <c r="AE502" s="40">
        <f>ROUND((((X502*E498)/1800)),4)</f>
        <v>5.7000000000000002E-3</v>
      </c>
      <c r="AF502" s="40">
        <f>ROUND(((Z502+AA502+AB502)),4)</f>
        <v>0.2286</v>
      </c>
      <c r="AG502" s="254"/>
      <c r="AH502" s="254"/>
    </row>
    <row r="503" spans="1:34" s="61" customFormat="1" ht="15" customHeight="1" x14ac:dyDescent="0.25">
      <c r="A503" s="260"/>
      <c r="B503" s="280"/>
      <c r="C503" s="119"/>
      <c r="D503" s="119"/>
      <c r="E503" s="119"/>
      <c r="F503" s="119"/>
      <c r="G503" s="119"/>
      <c r="H503" s="119"/>
      <c r="I503" s="119"/>
      <c r="J503" s="119"/>
      <c r="K503" s="119"/>
      <c r="L503" s="119">
        <v>1.29</v>
      </c>
      <c r="M503" s="119">
        <v>1.57</v>
      </c>
      <c r="N503" s="119"/>
      <c r="O503" s="119"/>
      <c r="P503" s="119"/>
      <c r="Q503" s="119"/>
      <c r="R503" s="119"/>
      <c r="S503" s="42">
        <v>2.4</v>
      </c>
      <c r="T503" s="42">
        <f>ROUND((L503*I498+1.3*L503*K498+S503*H498),4)</f>
        <v>2613.2534999999998</v>
      </c>
      <c r="U503" s="42">
        <f>ROUND((M503*0.9*I498+1.3*M503*0.9*K498+S503*H498),4)</f>
        <v>2848.694</v>
      </c>
      <c r="V503" s="42">
        <f>ROUND((M503*I498+1.3*M503*K498+S503*H498),4)</f>
        <v>3149.2154999999998</v>
      </c>
      <c r="W503" s="42">
        <f>ROUND((L503*J498+1.3*L503*N498+S503*G498),4)</f>
        <v>49.23</v>
      </c>
      <c r="X503" s="42">
        <f>ROUND((M503*0.9*J498+1.3*M503*0.9*N498+S503*G498),4)</f>
        <v>52.551000000000002</v>
      </c>
      <c r="Y503" s="42">
        <f>ROUND((M503*J498+1.3*M503*N498+S503*G498),4)</f>
        <v>56.79</v>
      </c>
      <c r="Z503" s="298">
        <f>ROUND((P498*T503*F498*O498/1000000),4)</f>
        <v>0.47039999999999998</v>
      </c>
      <c r="AA503" s="298">
        <f>ROUND((Q498*U503*F498*O498/1000000),4)</f>
        <v>0.25640000000000002</v>
      </c>
      <c r="AB503" s="298">
        <f>ROUND((R498*V503*F498*O498/1000000),4)</f>
        <v>0.28339999999999999</v>
      </c>
      <c r="AC503" s="277" t="s">
        <v>157</v>
      </c>
      <c r="AD503" s="278" t="s">
        <v>153</v>
      </c>
      <c r="AE503" s="40">
        <f>ROUND((((X503*E498)/1800)),4)</f>
        <v>2.92E-2</v>
      </c>
      <c r="AF503" s="40">
        <f>ROUND(((Z503+AA503+AB503)),4)</f>
        <v>1.0102</v>
      </c>
      <c r="AG503" s="254"/>
      <c r="AH503" s="254"/>
    </row>
    <row r="504" spans="1:34" s="61" customFormat="1" ht="15" customHeight="1" x14ac:dyDescent="0.25">
      <c r="A504" s="289"/>
      <c r="B504" s="1478" t="s">
        <v>568</v>
      </c>
      <c r="C504" s="274">
        <v>6</v>
      </c>
      <c r="D504" s="38" t="s">
        <v>556</v>
      </c>
      <c r="E504" s="38">
        <v>1</v>
      </c>
      <c r="F504" s="38">
        <v>13</v>
      </c>
      <c r="G504" s="38">
        <v>6</v>
      </c>
      <c r="H504" s="38">
        <v>60</v>
      </c>
      <c r="I504" s="38">
        <f>(8-1-0.75*2)*60*F504-K504-8*0.12*60</f>
        <v>1443.9</v>
      </c>
      <c r="J504" s="38">
        <v>14</v>
      </c>
      <c r="K504" s="38">
        <f>(8-1-0.75*2)*0.65*60*F504</f>
        <v>2788.5</v>
      </c>
      <c r="L504" s="38">
        <v>6.47</v>
      </c>
      <c r="M504" s="38">
        <v>6.47</v>
      </c>
      <c r="N504" s="38">
        <v>10</v>
      </c>
      <c r="O504" s="38">
        <f>E504/F504</f>
        <v>7.6923076923076927E-2</v>
      </c>
      <c r="P504" s="38">
        <v>180</v>
      </c>
      <c r="Q504" s="38">
        <v>90</v>
      </c>
      <c r="R504" s="275">
        <v>90</v>
      </c>
      <c r="S504" s="275">
        <v>1.27</v>
      </c>
      <c r="T504" s="38">
        <f>ROUND((L504*I504+1.3*L504*K504+S504*H504),4)</f>
        <v>32872.306499999999</v>
      </c>
      <c r="U504" s="38">
        <f>ROUND((M504*I504+1.3*M504*K504+S504*H504),4)</f>
        <v>32872.306499999999</v>
      </c>
      <c r="V504" s="38">
        <f>ROUND((M504*I504+1.3*M504*K504+S504*H504),4)</f>
        <v>32872.306499999999</v>
      </c>
      <c r="W504" s="38">
        <f>ROUND((L504*J504+1.3*L504*N504+S504*G504),4)</f>
        <v>182.31</v>
      </c>
      <c r="X504" s="38">
        <f>ROUND((M504*J504+1.3*M504*N504+S504*G504),4)</f>
        <v>182.31</v>
      </c>
      <c r="Y504" s="38">
        <f>ROUND((M504*J504+1.3*M504*N504+S504*G504),4)</f>
        <v>182.31</v>
      </c>
      <c r="Z504" s="276">
        <f>ROUND((P504*T504*F504*O504/1000000),4)</f>
        <v>5.9169999999999998</v>
      </c>
      <c r="AA504" s="276">
        <f>ROUND((Q504*U504*F504*O504/1000000),4)</f>
        <v>2.9584999999999999</v>
      </c>
      <c r="AB504" s="276">
        <f>ROUND((R504*V504*F504*O504/1000000),4)</f>
        <v>2.9584999999999999</v>
      </c>
      <c r="AC504" s="277" t="s">
        <v>165</v>
      </c>
      <c r="AD504" s="278" t="s">
        <v>144</v>
      </c>
      <c r="AE504" s="40">
        <f>ROUND((((X504*E504)/1800)*0.8),4)</f>
        <v>8.1000000000000003E-2</v>
      </c>
      <c r="AF504" s="40">
        <f>ROUND(((Z504+AA504+AB504)*0.8),4)</f>
        <v>9.4672000000000001</v>
      </c>
      <c r="AG504" s="254"/>
      <c r="AH504" s="254"/>
    </row>
    <row r="505" spans="1:34" s="61" customFormat="1" ht="15" customHeight="1" x14ac:dyDescent="0.25">
      <c r="A505" s="289"/>
      <c r="B505" s="1634"/>
      <c r="C505" s="39"/>
      <c r="D505" s="39"/>
      <c r="E505" s="39"/>
      <c r="F505" s="39"/>
      <c r="G505" s="39"/>
      <c r="H505" s="39"/>
      <c r="I505" s="39"/>
      <c r="J505" s="39"/>
      <c r="K505" s="39"/>
      <c r="L505" s="119"/>
      <c r="M505" s="119"/>
      <c r="N505" s="39"/>
      <c r="O505" s="39"/>
      <c r="P505" s="39"/>
      <c r="Q505" s="39"/>
      <c r="R505" s="39"/>
      <c r="S505" s="281"/>
      <c r="T505" s="39"/>
      <c r="U505" s="39"/>
      <c r="V505" s="39"/>
      <c r="W505" s="39"/>
      <c r="X505" s="39"/>
      <c r="Y505" s="39"/>
      <c r="Z505" s="39"/>
      <c r="AA505" s="39"/>
      <c r="AB505" s="39"/>
      <c r="AC505" s="277" t="s">
        <v>166</v>
      </c>
      <c r="AD505" s="278" t="s">
        <v>167</v>
      </c>
      <c r="AE505" s="40">
        <f>ROUND((((X504*E504)/1800)*0.13),4)</f>
        <v>1.32E-2</v>
      </c>
      <c r="AF505" s="40">
        <f>ROUND(((Z504+AA504+AB504)*0.13),4)</f>
        <v>1.5384</v>
      </c>
      <c r="AG505" s="254"/>
      <c r="AH505" s="254"/>
    </row>
    <row r="506" spans="1:34" s="61" customFormat="1" ht="15" customHeight="1" x14ac:dyDescent="0.25">
      <c r="A506" s="289"/>
      <c r="B506" s="280" t="s">
        <v>569</v>
      </c>
      <c r="C506" s="283"/>
      <c r="D506" s="283"/>
      <c r="E506" s="39"/>
      <c r="F506" s="39"/>
      <c r="G506" s="39"/>
      <c r="H506" s="39"/>
      <c r="I506" s="39"/>
      <c r="J506" s="39"/>
      <c r="K506" s="39"/>
      <c r="L506" s="40">
        <v>0.51</v>
      </c>
      <c r="M506" s="40">
        <v>0.63</v>
      </c>
      <c r="N506" s="39"/>
      <c r="O506" s="39"/>
      <c r="P506" s="39"/>
      <c r="Q506" s="39"/>
      <c r="R506" s="39"/>
      <c r="S506" s="284">
        <v>0.25</v>
      </c>
      <c r="T506" s="38">
        <f>ROUND((L506*I504+1.3*L506*K504+S506*H504),4)</f>
        <v>2600.1644999999999</v>
      </c>
      <c r="U506" s="38">
        <f>ROUND((M506*0.9*I504+1.3*M506*0.9*K504+S506*H504),4)</f>
        <v>2889.0947000000001</v>
      </c>
      <c r="V506" s="38">
        <f>ROUND((M506*I504+1.3*M506*K504+S506*H504),4)</f>
        <v>3208.4385000000002</v>
      </c>
      <c r="W506" s="38">
        <f>ROUND((L506*J504+1.3*L506*N504+S506*G504),4)</f>
        <v>15.27</v>
      </c>
      <c r="X506" s="38">
        <f>ROUND((M506*0.9*J504+1.3*M506*0.9*N504+S506*G504),4)</f>
        <v>16.809000000000001</v>
      </c>
      <c r="Y506" s="38">
        <f>ROUND((M506*J504+1.3*M506*N504+S506*G504),4)</f>
        <v>18.510000000000002</v>
      </c>
      <c r="Z506" s="276">
        <f>ROUND((P504*T506*F504*O504/1000000),4)</f>
        <v>0.46800000000000003</v>
      </c>
      <c r="AA506" s="276">
        <f>ROUND((Q504*U506*F504*O504/1000000),4)</f>
        <v>0.26</v>
      </c>
      <c r="AB506" s="276">
        <f>ROUND((R504*V506*F504*O504/1000000),4)</f>
        <v>0.2888</v>
      </c>
      <c r="AC506" s="277" t="s">
        <v>547</v>
      </c>
      <c r="AD506" s="278" t="s">
        <v>169</v>
      </c>
      <c r="AE506" s="40">
        <f>ROUND((((X506*E504)/1800)),4)</f>
        <v>9.2999999999999992E-3</v>
      </c>
      <c r="AF506" s="40">
        <f>ROUND(((Z506+AA506+AB506)),5)</f>
        <v>1.0167999999999999</v>
      </c>
      <c r="AG506" s="254"/>
      <c r="AH506" s="254"/>
    </row>
    <row r="507" spans="1:34" s="61" customFormat="1" ht="15" customHeight="1" x14ac:dyDescent="0.25">
      <c r="A507" s="289"/>
      <c r="B507" s="280"/>
      <c r="C507" s="39"/>
      <c r="D507" s="39"/>
      <c r="E507" s="39"/>
      <c r="F507" s="39"/>
      <c r="G507" s="39"/>
      <c r="H507" s="39"/>
      <c r="I507" s="39"/>
      <c r="J507" s="39"/>
      <c r="K507" s="39"/>
      <c r="L507" s="40">
        <v>1.1399999999999999</v>
      </c>
      <c r="M507" s="40">
        <v>1.37</v>
      </c>
      <c r="N507" s="39"/>
      <c r="O507" s="39"/>
      <c r="P507" s="39"/>
      <c r="Q507" s="39"/>
      <c r="R507" s="39"/>
      <c r="S507" s="285">
        <v>0.79</v>
      </c>
      <c r="T507" s="38">
        <f>ROUND((L507*I504+1.3*L507*K504+S507*H504),4)</f>
        <v>5826.0029999999997</v>
      </c>
      <c r="U507" s="38">
        <f>ROUND((M507*0.9*I504+1.3*M507*0.9*K504+S507*H504),4)</f>
        <v>6297.4153999999999</v>
      </c>
      <c r="V507" s="38">
        <f>ROUND((M507*I504+1.3*M507*K504+S507*H504),4)</f>
        <v>6991.8615</v>
      </c>
      <c r="W507" s="38">
        <f>ROUND((L507*J504+1.3*L507*N504+S507*G504),4)</f>
        <v>35.520000000000003</v>
      </c>
      <c r="X507" s="38">
        <f>ROUND((M507*0.9*J504+1.3*M507*0.9*N504+S507*G504),4)</f>
        <v>38.030999999999999</v>
      </c>
      <c r="Y507" s="38">
        <f>ROUND((M507*J504+1.3*N504+S507*G504),4)</f>
        <v>36.92</v>
      </c>
      <c r="Z507" s="276">
        <f>ROUND((P504*T507*F504*O504/1000000),4)</f>
        <v>1.0487</v>
      </c>
      <c r="AA507" s="276">
        <f>ROUND((Q504*U507*F504*O504/1000000),4)</f>
        <v>0.56679999999999997</v>
      </c>
      <c r="AB507" s="276">
        <f>ROUND((R504*V507*F504*O504/1000000),4)</f>
        <v>0.62929999999999997</v>
      </c>
      <c r="AC507" s="277" t="s">
        <v>548</v>
      </c>
      <c r="AD507" s="278" t="s">
        <v>549</v>
      </c>
      <c r="AE507" s="40">
        <f>ROUND((((X507*E504)/1800)),4)</f>
        <v>2.1100000000000001E-2</v>
      </c>
      <c r="AF507" s="40">
        <f>ROUND(((Z507+AA507+AB507)),4)</f>
        <v>2.2448000000000001</v>
      </c>
      <c r="AG507" s="254"/>
      <c r="AH507" s="254"/>
    </row>
    <row r="508" spans="1:34" s="61" customFormat="1" ht="15" customHeight="1" x14ac:dyDescent="0.25">
      <c r="A508" s="289"/>
      <c r="B508" s="280"/>
      <c r="C508" s="39"/>
      <c r="D508" s="39"/>
      <c r="E508" s="39"/>
      <c r="F508" s="39"/>
      <c r="G508" s="39"/>
      <c r="H508" s="39"/>
      <c r="I508" s="39"/>
      <c r="J508" s="39"/>
      <c r="K508" s="39"/>
      <c r="L508" s="40">
        <v>0.72</v>
      </c>
      <c r="M508" s="40">
        <v>1.08</v>
      </c>
      <c r="N508" s="39"/>
      <c r="O508" s="39"/>
      <c r="P508" s="39"/>
      <c r="Q508" s="39"/>
      <c r="R508" s="39"/>
      <c r="S508" s="285">
        <v>0.17</v>
      </c>
      <c r="T508" s="38">
        <f>ROUND((L508*I504+1.3*L508*K504+S508*H504),4)</f>
        <v>3659.8440000000001</v>
      </c>
      <c r="U508" s="38">
        <f>ROUND((M508*0.9*I504+1.3*M508*0.9*K504+S508*H504),4)</f>
        <v>4937.2194</v>
      </c>
      <c r="V508" s="38">
        <f>ROUND((M508*I504+1.3*M508*K504+S508*H504),4)</f>
        <v>5484.6660000000002</v>
      </c>
      <c r="W508" s="38">
        <f>ROUND((L508*J504+1.3*L508*N504+S508*G504),4)</f>
        <v>20.46</v>
      </c>
      <c r="X508" s="38">
        <f>ROUND((M508*0.9*J504+1.3*M508*0.9*N504+S508*G504),4)</f>
        <v>27.263999999999999</v>
      </c>
      <c r="Y508" s="38">
        <f>ROUND((M508*J504+1.3*M508*N504+S508*G504),4)</f>
        <v>30.18</v>
      </c>
      <c r="Z508" s="276">
        <f>ROUND((P504*T508*F504*O504/1000000),4)</f>
        <v>0.65880000000000005</v>
      </c>
      <c r="AA508" s="276">
        <f>ROUND((Q504*U508*F504*O504/1000000),4)</f>
        <v>0.44429999999999997</v>
      </c>
      <c r="AB508" s="276">
        <f>ROUND((R504*V508*F504*O504/1000000),4)</f>
        <v>0.49359999999999998</v>
      </c>
      <c r="AC508" s="277" t="s">
        <v>172</v>
      </c>
      <c r="AD508" s="278" t="s">
        <v>173</v>
      </c>
      <c r="AE508" s="40">
        <f>ROUND((((X508*E504)/1800)),4)</f>
        <v>1.5100000000000001E-2</v>
      </c>
      <c r="AF508" s="40">
        <f>ROUND(((Z508+AA508+AB508)),4)</f>
        <v>1.5967</v>
      </c>
      <c r="AG508" s="254"/>
      <c r="AH508" s="254"/>
    </row>
    <row r="509" spans="1:34" s="61" customFormat="1" ht="15" customHeight="1" x14ac:dyDescent="0.25">
      <c r="A509" s="289"/>
      <c r="B509" s="286"/>
      <c r="C509" s="119"/>
      <c r="D509" s="119"/>
      <c r="E509" s="119"/>
      <c r="F509" s="119"/>
      <c r="G509" s="119"/>
      <c r="H509" s="119"/>
      <c r="I509" s="119"/>
      <c r="J509" s="119"/>
      <c r="K509" s="119"/>
      <c r="L509" s="40">
        <v>3.37</v>
      </c>
      <c r="M509" s="40">
        <v>4.1100000000000003</v>
      </c>
      <c r="N509" s="119"/>
      <c r="O509" s="119"/>
      <c r="P509" s="119"/>
      <c r="Q509" s="119"/>
      <c r="R509" s="119"/>
      <c r="S509" s="285">
        <v>6.31</v>
      </c>
      <c r="T509" s="38">
        <f>ROUND((L509*I504+1.3*L509*K504+S509*H504),4)</f>
        <v>17460.961500000001</v>
      </c>
      <c r="U509" s="38">
        <f>ROUND((M509*0.9*I504+1.3*M509*0.9*K504+S509*H504),4)</f>
        <v>19128.646100000002</v>
      </c>
      <c r="V509" s="38">
        <f>ROUND((M509*I504+1.3*M509*K504+S509*H504),4)</f>
        <v>21211.984499999999</v>
      </c>
      <c r="W509" s="38">
        <f>ROUND((L509*J504+1.3*L509*N504+S509*G504),4)</f>
        <v>128.85</v>
      </c>
      <c r="X509" s="38">
        <f>ROUND((M509*0.9*J504+1.3*M509*0.9*N504+S509*G504),4)</f>
        <v>137.733</v>
      </c>
      <c r="Y509" s="38">
        <f>ROUND((M509*J504+1.3*M509*N504+S509*G504),4)</f>
        <v>148.83000000000001</v>
      </c>
      <c r="Z509" s="276">
        <f>ROUND((P504*T509*F504*O504/1000000),4)</f>
        <v>3.1429999999999998</v>
      </c>
      <c r="AA509" s="276">
        <f>ROUND((Q504*U509*F504*O504/1000000),4)</f>
        <v>1.7216</v>
      </c>
      <c r="AB509" s="276">
        <f>ROUND((R504*V509*F504*O504/1000000),4)</f>
        <v>1.9091</v>
      </c>
      <c r="AC509" s="277" t="s">
        <v>157</v>
      </c>
      <c r="AD509" s="278" t="s">
        <v>153</v>
      </c>
      <c r="AE509" s="40">
        <f>ROUND((((X509*E504)/1800)),4)</f>
        <v>7.6499999999999999E-2</v>
      </c>
      <c r="AF509" s="40">
        <f>ROUND(((Z509+AA509+AB509)),4)</f>
        <v>6.7736999999999998</v>
      </c>
      <c r="AG509" s="254"/>
      <c r="AH509" s="254"/>
    </row>
    <row r="510" spans="1:34" s="61" customFormat="1" ht="15" customHeight="1" x14ac:dyDescent="0.25">
      <c r="A510" s="289"/>
      <c r="B510" s="1478" t="s">
        <v>568</v>
      </c>
      <c r="C510" s="274">
        <v>6</v>
      </c>
      <c r="D510" s="38" t="s">
        <v>556</v>
      </c>
      <c r="E510" s="38">
        <v>1</v>
      </c>
      <c r="F510" s="38">
        <v>20</v>
      </c>
      <c r="G510" s="38">
        <v>6</v>
      </c>
      <c r="H510" s="38">
        <v>60</v>
      </c>
      <c r="I510" s="38">
        <f>(8-1-0.75*2)*60*F510-K510-8*0.12*60</f>
        <v>2252.4</v>
      </c>
      <c r="J510" s="38">
        <v>14</v>
      </c>
      <c r="K510" s="38">
        <f>(8-1-0.75*2)*0.65*60*F510</f>
        <v>4290</v>
      </c>
      <c r="L510" s="38">
        <v>6.47</v>
      </c>
      <c r="M510" s="38">
        <v>6.47</v>
      </c>
      <c r="N510" s="38">
        <v>10</v>
      </c>
      <c r="O510" s="38">
        <f>E510/F510</f>
        <v>0.05</v>
      </c>
      <c r="P510" s="38">
        <v>180</v>
      </c>
      <c r="Q510" s="38">
        <v>90</v>
      </c>
      <c r="R510" s="275">
        <v>90</v>
      </c>
      <c r="S510" s="275">
        <v>1.27</v>
      </c>
      <c r="T510" s="38">
        <f>ROUND((L510*I510+1.3*L510*K510+S510*H510),4)</f>
        <v>50732.417999999998</v>
      </c>
      <c r="U510" s="38">
        <f>ROUND((M510*I510+1.3*M510*K510+S510*H510),4)</f>
        <v>50732.417999999998</v>
      </c>
      <c r="V510" s="38">
        <f>ROUND((M510*I510+1.3*M510*K510+S510*H510),4)</f>
        <v>50732.417999999998</v>
      </c>
      <c r="W510" s="38">
        <f>ROUND((L510*J510+1.3*L510*N510+S510*G510),4)</f>
        <v>182.31</v>
      </c>
      <c r="X510" s="38">
        <f>ROUND((M510*J510+1.3*M510*N510+S510*G510),4)</f>
        <v>182.31</v>
      </c>
      <c r="Y510" s="38">
        <f>ROUND((M510*J510+1.3*M510*N510+S510*G510),4)</f>
        <v>182.31</v>
      </c>
      <c r="Z510" s="276">
        <f>ROUND((P510*T510*F510*O510/1000000),4)</f>
        <v>9.1318000000000001</v>
      </c>
      <c r="AA510" s="276">
        <f>ROUND((Q510*U510*F510*O510/1000000),4)</f>
        <v>4.5659000000000001</v>
      </c>
      <c r="AB510" s="276">
        <f>ROUND((R510*V510*F510*O510/1000000),4)</f>
        <v>4.5659000000000001</v>
      </c>
      <c r="AC510" s="277" t="s">
        <v>165</v>
      </c>
      <c r="AD510" s="278" t="s">
        <v>144</v>
      </c>
      <c r="AE510" s="40">
        <f>ROUND((((X510*E510)/1800)*0.8),4)</f>
        <v>8.1000000000000003E-2</v>
      </c>
      <c r="AF510" s="40">
        <f>ROUND(((Z510+AA510+AB510)*0.8),4)</f>
        <v>14.610900000000001</v>
      </c>
      <c r="AG510" s="254"/>
      <c r="AH510" s="254"/>
    </row>
    <row r="511" spans="1:34" s="61" customFormat="1" ht="15" customHeight="1" x14ac:dyDescent="0.25">
      <c r="A511" s="289"/>
      <c r="B511" s="1634"/>
      <c r="C511" s="39"/>
      <c r="D511" s="39"/>
      <c r="E511" s="39"/>
      <c r="F511" s="39"/>
      <c r="G511" s="39"/>
      <c r="H511" s="39"/>
      <c r="I511" s="39"/>
      <c r="J511" s="39"/>
      <c r="K511" s="39"/>
      <c r="L511" s="119"/>
      <c r="M511" s="119"/>
      <c r="N511" s="39"/>
      <c r="O511" s="39"/>
      <c r="P511" s="39"/>
      <c r="Q511" s="39"/>
      <c r="R511" s="39"/>
      <c r="S511" s="281"/>
      <c r="T511" s="39"/>
      <c r="U511" s="39"/>
      <c r="V511" s="39"/>
      <c r="W511" s="39"/>
      <c r="X511" s="39"/>
      <c r="Y511" s="39"/>
      <c r="Z511" s="39"/>
      <c r="AA511" s="39"/>
      <c r="AB511" s="39"/>
      <c r="AC511" s="277" t="s">
        <v>166</v>
      </c>
      <c r="AD511" s="278" t="s">
        <v>167</v>
      </c>
      <c r="AE511" s="40">
        <f>ROUND((((X510*E510)/1800)*0.13),4)</f>
        <v>1.32E-2</v>
      </c>
      <c r="AF511" s="40">
        <f>ROUND(((Z510+AA510+AB510)*0.13),4)</f>
        <v>2.3742999999999999</v>
      </c>
      <c r="AG511" s="254"/>
      <c r="AH511" s="254"/>
    </row>
    <row r="512" spans="1:34" s="61" customFormat="1" ht="15" customHeight="1" x14ac:dyDescent="0.25">
      <c r="A512" s="289"/>
      <c r="B512" s="280" t="s">
        <v>589</v>
      </c>
      <c r="C512" s="283"/>
      <c r="D512" s="283"/>
      <c r="E512" s="39"/>
      <c r="F512" s="39"/>
      <c r="G512" s="39"/>
      <c r="H512" s="39"/>
      <c r="I512" s="39"/>
      <c r="J512" s="39"/>
      <c r="K512" s="39"/>
      <c r="L512" s="40">
        <v>0.51</v>
      </c>
      <c r="M512" s="40">
        <v>0.63</v>
      </c>
      <c r="N512" s="39"/>
      <c r="O512" s="39"/>
      <c r="P512" s="39"/>
      <c r="Q512" s="39"/>
      <c r="R512" s="39"/>
      <c r="S512" s="284">
        <v>0.25</v>
      </c>
      <c r="T512" s="38">
        <f>ROUND((L512*I510+1.3*L512*K510+S512*H510),4)</f>
        <v>4007.9940000000001</v>
      </c>
      <c r="U512" s="38">
        <f>ROUND((M512*0.9*I510+1.3*M512*0.9*K510+S512*H510),4)</f>
        <v>4454.2698</v>
      </c>
      <c r="V512" s="38">
        <f>ROUND((M512*I510+1.3*M512*K510+S512*H510),4)</f>
        <v>4947.5219999999999</v>
      </c>
      <c r="W512" s="38">
        <f>ROUND((L512*J510+1.3*L512*N510+S512*G510),4)</f>
        <v>15.27</v>
      </c>
      <c r="X512" s="38">
        <f>ROUND((M512*0.9*J510+1.3*M512*0.9*N510+S512*G510),4)</f>
        <v>16.809000000000001</v>
      </c>
      <c r="Y512" s="38">
        <f>ROUND((M512*J510+1.3*M512*N510+S512*G510),4)</f>
        <v>18.510000000000002</v>
      </c>
      <c r="Z512" s="276">
        <f>ROUND((P510*T512*F510*O510/1000000),4)</f>
        <v>0.72140000000000004</v>
      </c>
      <c r="AA512" s="276">
        <f>ROUND((Q510*U512*F510*O510/1000000),4)</f>
        <v>0.40089999999999998</v>
      </c>
      <c r="AB512" s="276">
        <f>ROUND((R510*V512*F510*O510/1000000),4)</f>
        <v>0.44529999999999997</v>
      </c>
      <c r="AC512" s="277" t="s">
        <v>547</v>
      </c>
      <c r="AD512" s="278" t="s">
        <v>169</v>
      </c>
      <c r="AE512" s="40">
        <f>ROUND((((X512*E510)/1800)),4)</f>
        <v>9.2999999999999992E-3</v>
      </c>
      <c r="AF512" s="40">
        <f>ROUND(((Z512+AA512+AB512)),5)</f>
        <v>1.5676000000000001</v>
      </c>
      <c r="AG512" s="254"/>
      <c r="AH512" s="254"/>
    </row>
    <row r="513" spans="1:34" s="61" customFormat="1" ht="15" customHeight="1" x14ac:dyDescent="0.25">
      <c r="A513" s="289"/>
      <c r="B513" s="280"/>
      <c r="C513" s="39"/>
      <c r="D513" s="39"/>
      <c r="E513" s="39"/>
      <c r="F513" s="39"/>
      <c r="G513" s="39"/>
      <c r="H513" s="39"/>
      <c r="I513" s="39"/>
      <c r="J513" s="39"/>
      <c r="K513" s="39"/>
      <c r="L513" s="40">
        <v>1.1399999999999999</v>
      </c>
      <c r="M513" s="40">
        <v>1.37</v>
      </c>
      <c r="N513" s="39"/>
      <c r="O513" s="39"/>
      <c r="P513" s="39"/>
      <c r="Q513" s="39"/>
      <c r="R513" s="39"/>
      <c r="S513" s="285">
        <v>0.79</v>
      </c>
      <c r="T513" s="38">
        <f>ROUND((L513*I510+1.3*L513*K510+S513*H510),4)</f>
        <v>8972.9159999999993</v>
      </c>
      <c r="U513" s="38">
        <f>ROUND((M513*0.9*I510+1.3*M513*0.9*K510+S513*H510),4)</f>
        <v>9701.0501999999997</v>
      </c>
      <c r="V513" s="38">
        <f>ROUND((M513*I510+1.3*M513*K510+S513*H510),4)</f>
        <v>10773.678</v>
      </c>
      <c r="W513" s="38">
        <f>ROUND((L513*J510+1.3*L513*N510+S513*G510),4)</f>
        <v>35.520000000000003</v>
      </c>
      <c r="X513" s="38">
        <f>ROUND((M513*0.9*J510+1.3*M513*0.9*N510+S513*G510),4)</f>
        <v>38.030999999999999</v>
      </c>
      <c r="Y513" s="38">
        <f>ROUND((M513*J510+1.3*N510+S513*G510),4)</f>
        <v>36.92</v>
      </c>
      <c r="Z513" s="276">
        <f>ROUND((P510*T513*F510*O510/1000000),4)</f>
        <v>1.6151</v>
      </c>
      <c r="AA513" s="276">
        <f>ROUND((Q510*U513*F510*O510/1000000),4)</f>
        <v>0.87309999999999999</v>
      </c>
      <c r="AB513" s="276">
        <f>ROUND((R510*V513*F510*O510/1000000),4)</f>
        <v>0.96960000000000002</v>
      </c>
      <c r="AC513" s="277" t="s">
        <v>548</v>
      </c>
      <c r="AD513" s="278" t="s">
        <v>549</v>
      </c>
      <c r="AE513" s="40">
        <f>ROUND((((X513*E510)/1800)),4)</f>
        <v>2.1100000000000001E-2</v>
      </c>
      <c r="AF513" s="40">
        <f>ROUND(((Z513+AA513+AB513)),4)</f>
        <v>3.4578000000000002</v>
      </c>
      <c r="AG513" s="254"/>
      <c r="AH513" s="254"/>
    </row>
    <row r="514" spans="1:34" s="61" customFormat="1" ht="15" customHeight="1" x14ac:dyDescent="0.25">
      <c r="A514" s="289"/>
      <c r="B514" s="280"/>
      <c r="C514" s="39"/>
      <c r="D514" s="39"/>
      <c r="E514" s="39"/>
      <c r="F514" s="39"/>
      <c r="G514" s="39"/>
      <c r="H514" s="39"/>
      <c r="I514" s="39"/>
      <c r="J514" s="39"/>
      <c r="K514" s="39"/>
      <c r="L514" s="40">
        <v>0.72</v>
      </c>
      <c r="M514" s="40">
        <v>1.08</v>
      </c>
      <c r="N514" s="39"/>
      <c r="O514" s="39"/>
      <c r="P514" s="39"/>
      <c r="Q514" s="39"/>
      <c r="R514" s="39"/>
      <c r="S514" s="285">
        <v>0.17</v>
      </c>
      <c r="T514" s="38">
        <f>ROUND((L514*I510+1.3*L514*K510+S514*H510),4)</f>
        <v>5647.3680000000004</v>
      </c>
      <c r="U514" s="38">
        <f>ROUND((M514*0.9*I510+1.3*M514*0.9*K510+S514*H510),4)</f>
        <v>7620.3768</v>
      </c>
      <c r="V514" s="38">
        <f>ROUND((M514*I510+1.3*M514*K510+S514*H510),4)</f>
        <v>8465.9519999999993</v>
      </c>
      <c r="W514" s="38">
        <f>ROUND((L514*J510+1.3*L514*N510+S514*G510),4)</f>
        <v>20.46</v>
      </c>
      <c r="X514" s="38">
        <f>ROUND((M514*0.9*J510+1.3*M514*0.9*N510+S514*G510),4)</f>
        <v>27.263999999999999</v>
      </c>
      <c r="Y514" s="38">
        <f>ROUND((M514*J510+1.3*M514*N510+S514*G510),4)</f>
        <v>30.18</v>
      </c>
      <c r="Z514" s="276">
        <f>ROUND((P510*T514*F510*O510/1000000),4)</f>
        <v>1.0165</v>
      </c>
      <c r="AA514" s="276">
        <f>ROUND((Q510*U514*F510*O510/1000000),4)</f>
        <v>0.68579999999999997</v>
      </c>
      <c r="AB514" s="276">
        <f>ROUND((R510*V514*F510*O510/1000000),4)</f>
        <v>0.76190000000000002</v>
      </c>
      <c r="AC514" s="277" t="s">
        <v>172</v>
      </c>
      <c r="AD514" s="278" t="s">
        <v>173</v>
      </c>
      <c r="AE514" s="40">
        <f>ROUND((((X514*E510)/1800)),4)</f>
        <v>1.5100000000000001E-2</v>
      </c>
      <c r="AF514" s="40">
        <f>ROUND(((Z514+AA514+AB514)),4)</f>
        <v>2.4641999999999999</v>
      </c>
      <c r="AG514" s="254"/>
      <c r="AH514" s="254"/>
    </row>
    <row r="515" spans="1:34" s="61" customFormat="1" ht="15" customHeight="1" x14ac:dyDescent="0.25">
      <c r="A515" s="289"/>
      <c r="B515" s="286"/>
      <c r="C515" s="119"/>
      <c r="D515" s="119"/>
      <c r="E515" s="119"/>
      <c r="F515" s="119"/>
      <c r="G515" s="119"/>
      <c r="H515" s="119"/>
      <c r="I515" s="119"/>
      <c r="J515" s="119"/>
      <c r="K515" s="119"/>
      <c r="L515" s="40">
        <v>3.37</v>
      </c>
      <c r="M515" s="40">
        <v>4.1100000000000003</v>
      </c>
      <c r="N515" s="119"/>
      <c r="O515" s="119"/>
      <c r="P515" s="119"/>
      <c r="Q515" s="119"/>
      <c r="R515" s="119"/>
      <c r="S515" s="285">
        <v>6.31</v>
      </c>
      <c r="T515" s="38">
        <f>ROUND((L515*I510+1.3*L515*K510+S515*H510),4)</f>
        <v>26763.678</v>
      </c>
      <c r="U515" s="38">
        <f>ROUND((M515*0.9*I510+1.3*M515*0.9*K510+S515*H510),4)</f>
        <v>29339.550599999999</v>
      </c>
      <c r="V515" s="38">
        <f>ROUND((M515*I510+1.3*M515*K510+S515*H510),4)</f>
        <v>32557.434000000001</v>
      </c>
      <c r="W515" s="38">
        <f>ROUND((L515*J510+1.3*L515*N510+S515*G510),4)</f>
        <v>128.85</v>
      </c>
      <c r="X515" s="38">
        <f>ROUND((M515*0.9*J510+1.3*M515*0.9*N510+S515*G510),4)</f>
        <v>137.733</v>
      </c>
      <c r="Y515" s="38">
        <f>ROUND((M515*J510+1.3*M515*N510+S515*G510),4)</f>
        <v>148.83000000000001</v>
      </c>
      <c r="Z515" s="276">
        <f>ROUND((P510*T515*F510*O510/1000000),4)</f>
        <v>4.8174999999999999</v>
      </c>
      <c r="AA515" s="276">
        <f>ROUND((Q510*U515*F510*O510/1000000),4)</f>
        <v>2.6406000000000001</v>
      </c>
      <c r="AB515" s="276">
        <f>ROUND((R510*V515*F510*O510/1000000),4)</f>
        <v>2.9302000000000001</v>
      </c>
      <c r="AC515" s="277" t="s">
        <v>157</v>
      </c>
      <c r="AD515" s="278" t="s">
        <v>153</v>
      </c>
      <c r="AE515" s="40">
        <f>ROUND((((X515*E510)/1800)),4)</f>
        <v>7.6499999999999999E-2</v>
      </c>
      <c r="AF515" s="40">
        <f>ROUND(((Z515+AA515+AB515)),4)</f>
        <v>10.388299999999999</v>
      </c>
      <c r="AG515" s="254"/>
      <c r="AH515" s="254"/>
    </row>
    <row r="516" spans="1:34" s="61" customFormat="1" ht="15" customHeight="1" x14ac:dyDescent="0.25">
      <c r="A516" s="289"/>
      <c r="B516" s="1478" t="s">
        <v>568</v>
      </c>
      <c r="C516" s="274">
        <v>6</v>
      </c>
      <c r="D516" s="38" t="s">
        <v>556</v>
      </c>
      <c r="E516" s="38">
        <v>1</v>
      </c>
      <c r="F516" s="38">
        <v>4</v>
      </c>
      <c r="G516" s="38">
        <v>6</v>
      </c>
      <c r="H516" s="38">
        <v>60</v>
      </c>
      <c r="I516" s="38">
        <f>(8-1-0.75*2)*60*F516-K516-8*0.12*60</f>
        <v>404.4</v>
      </c>
      <c r="J516" s="38">
        <v>14</v>
      </c>
      <c r="K516" s="38">
        <f>(8-1-0.75*2)*0.65*60*F516</f>
        <v>858</v>
      </c>
      <c r="L516" s="38">
        <v>6.47</v>
      </c>
      <c r="M516" s="38">
        <v>6.47</v>
      </c>
      <c r="N516" s="38">
        <v>10</v>
      </c>
      <c r="O516" s="38">
        <f>E516/F516</f>
        <v>0.25</v>
      </c>
      <c r="P516" s="38">
        <v>180</v>
      </c>
      <c r="Q516" s="38">
        <v>90</v>
      </c>
      <c r="R516" s="275">
        <v>90</v>
      </c>
      <c r="S516" s="275">
        <v>1.27</v>
      </c>
      <c r="T516" s="38">
        <f>ROUND((L516*I516+1.3*L516*K516+S516*H516),4)</f>
        <v>9909.3060000000005</v>
      </c>
      <c r="U516" s="38">
        <f>ROUND((M516*I516+1.3*M516*K516+S516*H516),4)</f>
        <v>9909.3060000000005</v>
      </c>
      <c r="V516" s="38">
        <f>ROUND((M516*I516+1.3*M516*K516+S516*H516),4)</f>
        <v>9909.3060000000005</v>
      </c>
      <c r="W516" s="38">
        <f>ROUND((L516*J516+1.3*L516*N516+S516*G516),4)</f>
        <v>182.31</v>
      </c>
      <c r="X516" s="38">
        <f>ROUND((M516*J516+1.3*M516*N516+S516*G516),4)</f>
        <v>182.31</v>
      </c>
      <c r="Y516" s="38">
        <f>ROUND((M516*J516+1.3*M516*N516+S516*G516),4)</f>
        <v>182.31</v>
      </c>
      <c r="Z516" s="276">
        <f>ROUND((P516*T516*F516*O516/1000000),4)</f>
        <v>1.7837000000000001</v>
      </c>
      <c r="AA516" s="276">
        <f>ROUND((Q516*U516*F516*O516/1000000),4)</f>
        <v>0.89180000000000004</v>
      </c>
      <c r="AB516" s="276">
        <f>ROUND((R516*V516*F516*O516/1000000),4)</f>
        <v>0.89180000000000004</v>
      </c>
      <c r="AC516" s="277" t="s">
        <v>165</v>
      </c>
      <c r="AD516" s="278" t="s">
        <v>144</v>
      </c>
      <c r="AE516" s="40">
        <f>ROUND((((X516*E516)/1800)*0.8),4)</f>
        <v>8.1000000000000003E-2</v>
      </c>
      <c r="AF516" s="40">
        <f>ROUND(((Z516+AA516+AB516)*0.8),4)</f>
        <v>2.8538000000000001</v>
      </c>
      <c r="AG516" s="254"/>
      <c r="AH516" s="254"/>
    </row>
    <row r="517" spans="1:34" s="61" customFormat="1" ht="15" customHeight="1" x14ac:dyDescent="0.25">
      <c r="A517" s="289"/>
      <c r="B517" s="1634"/>
      <c r="C517" s="39"/>
      <c r="D517" s="39"/>
      <c r="E517" s="39"/>
      <c r="F517" s="39"/>
      <c r="G517" s="39"/>
      <c r="H517" s="39"/>
      <c r="I517" s="39"/>
      <c r="J517" s="39"/>
      <c r="K517" s="39"/>
      <c r="L517" s="119"/>
      <c r="M517" s="119"/>
      <c r="N517" s="39"/>
      <c r="O517" s="39"/>
      <c r="P517" s="39"/>
      <c r="Q517" s="39"/>
      <c r="R517" s="39"/>
      <c r="S517" s="281"/>
      <c r="T517" s="39"/>
      <c r="U517" s="39"/>
      <c r="V517" s="39"/>
      <c r="W517" s="39"/>
      <c r="X517" s="39"/>
      <c r="Y517" s="39"/>
      <c r="Z517" s="39"/>
      <c r="AA517" s="39"/>
      <c r="AB517" s="39"/>
      <c r="AC517" s="277" t="s">
        <v>166</v>
      </c>
      <c r="AD517" s="278" t="s">
        <v>167</v>
      </c>
      <c r="AE517" s="40">
        <f>ROUND((((X516*E516)/1800)*0.13),4)</f>
        <v>1.32E-2</v>
      </c>
      <c r="AF517" s="40">
        <f>ROUND(((Z516+AA516+AB516)*0.13),4)</f>
        <v>0.4637</v>
      </c>
      <c r="AG517" s="254"/>
      <c r="AH517" s="254"/>
    </row>
    <row r="518" spans="1:34" s="61" customFormat="1" ht="15" customHeight="1" x14ac:dyDescent="0.25">
      <c r="A518" s="289"/>
      <c r="B518" s="280" t="s">
        <v>590</v>
      </c>
      <c r="C518" s="283"/>
      <c r="D518" s="283"/>
      <c r="E518" s="39"/>
      <c r="F518" s="39"/>
      <c r="G518" s="39"/>
      <c r="H518" s="39"/>
      <c r="I518" s="39"/>
      <c r="J518" s="39"/>
      <c r="K518" s="39"/>
      <c r="L518" s="40">
        <v>0.51</v>
      </c>
      <c r="M518" s="40">
        <v>0.63</v>
      </c>
      <c r="N518" s="39"/>
      <c r="O518" s="39"/>
      <c r="P518" s="39"/>
      <c r="Q518" s="39"/>
      <c r="R518" s="39"/>
      <c r="S518" s="284">
        <v>0.25</v>
      </c>
      <c r="T518" s="38">
        <f>ROUND((L518*I516+1.3*L518*K516+S518*H516),4)</f>
        <v>790.09799999999996</v>
      </c>
      <c r="U518" s="38">
        <f>ROUND((M518*0.9*I516+1.3*M518*0.9*K516+S518*H516),4)</f>
        <v>876.72659999999996</v>
      </c>
      <c r="V518" s="38">
        <f>ROUND((M518*I516+1.3*M518*K516+S518*H516),4)</f>
        <v>972.47400000000005</v>
      </c>
      <c r="W518" s="38">
        <f>ROUND((L518*J516+1.3*L518*N516+S518*G516),4)</f>
        <v>15.27</v>
      </c>
      <c r="X518" s="38">
        <f>ROUND((M518*0.9*J516+1.3*M518*0.9*N516+S518*G516),4)</f>
        <v>16.809000000000001</v>
      </c>
      <c r="Y518" s="38">
        <f>ROUND((M518*J516+1.3*M518*N516+S518*G516),4)</f>
        <v>18.510000000000002</v>
      </c>
      <c r="Z518" s="276">
        <f>ROUND((P516*T518*F516*O516/1000000),4)</f>
        <v>0.14219999999999999</v>
      </c>
      <c r="AA518" s="276">
        <f>ROUND((Q516*U518*F516*O516/1000000),4)</f>
        <v>7.8899999999999998E-2</v>
      </c>
      <c r="AB518" s="276">
        <f>ROUND((R516*V518*F516*O516/1000000),4)</f>
        <v>8.7499999999999994E-2</v>
      </c>
      <c r="AC518" s="277" t="s">
        <v>547</v>
      </c>
      <c r="AD518" s="278" t="s">
        <v>169</v>
      </c>
      <c r="AE518" s="40">
        <f>ROUND((((X518*E516)/1800)),4)</f>
        <v>9.2999999999999992E-3</v>
      </c>
      <c r="AF518" s="40">
        <f>ROUND(((Z518+AA518+AB518)),5)</f>
        <v>0.30859999999999999</v>
      </c>
      <c r="AG518" s="254"/>
      <c r="AH518" s="254"/>
    </row>
    <row r="519" spans="1:34" s="61" customFormat="1" ht="15" customHeight="1" x14ac:dyDescent="0.25">
      <c r="A519" s="289"/>
      <c r="B519" s="280"/>
      <c r="C519" s="39"/>
      <c r="D519" s="39"/>
      <c r="E519" s="39"/>
      <c r="F519" s="39"/>
      <c r="G519" s="39"/>
      <c r="H519" s="39"/>
      <c r="I519" s="39"/>
      <c r="J519" s="39"/>
      <c r="K519" s="39"/>
      <c r="L519" s="40">
        <v>1.1399999999999999</v>
      </c>
      <c r="M519" s="40">
        <v>1.37</v>
      </c>
      <c r="N519" s="39"/>
      <c r="O519" s="39"/>
      <c r="P519" s="39"/>
      <c r="Q519" s="39"/>
      <c r="R519" s="39"/>
      <c r="S519" s="285">
        <v>0.79</v>
      </c>
      <c r="T519" s="38">
        <f>ROUND((L519*I516+1.3*L519*K516+S519*H516),4)</f>
        <v>1779.972</v>
      </c>
      <c r="U519" s="38">
        <f>ROUND((M519*0.9*I516+1.3*M519*0.9*K516+S519*H516),4)</f>
        <v>1921.3134</v>
      </c>
      <c r="V519" s="38">
        <f>ROUND((M519*I516+1.3*M519*K516+S519*H516),4)</f>
        <v>2129.5259999999998</v>
      </c>
      <c r="W519" s="38">
        <f>ROUND((L519*J516+1.3*L519*N516+S519*G516),4)</f>
        <v>35.520000000000003</v>
      </c>
      <c r="X519" s="38">
        <f>ROUND((M519*0.9*J516+1.3*M519*0.9*N516+S519*G516),4)</f>
        <v>38.030999999999999</v>
      </c>
      <c r="Y519" s="38">
        <f>ROUND((M519*J516+1.3*N516+S519*G516),4)</f>
        <v>36.92</v>
      </c>
      <c r="Z519" s="276">
        <f>ROUND((P516*T519*F516*O516/1000000),4)</f>
        <v>0.32040000000000002</v>
      </c>
      <c r="AA519" s="276">
        <f>ROUND((Q516*U519*F516*O516/1000000),4)</f>
        <v>0.1729</v>
      </c>
      <c r="AB519" s="276">
        <f>ROUND((R516*V519*F516*O516/1000000),4)</f>
        <v>0.19170000000000001</v>
      </c>
      <c r="AC519" s="277" t="s">
        <v>548</v>
      </c>
      <c r="AD519" s="278" t="s">
        <v>549</v>
      </c>
      <c r="AE519" s="40">
        <f>ROUND((((X519*E516)/1800)),4)</f>
        <v>2.1100000000000001E-2</v>
      </c>
      <c r="AF519" s="40">
        <f>ROUND(((Z519+AA519+AB519)),4)</f>
        <v>0.68500000000000005</v>
      </c>
      <c r="AG519" s="254"/>
      <c r="AH519" s="254"/>
    </row>
    <row r="520" spans="1:34" s="61" customFormat="1" ht="15" customHeight="1" x14ac:dyDescent="0.25">
      <c r="A520" s="289"/>
      <c r="B520" s="280"/>
      <c r="C520" s="39"/>
      <c r="D520" s="39"/>
      <c r="E520" s="39"/>
      <c r="F520" s="39"/>
      <c r="G520" s="39"/>
      <c r="H520" s="39"/>
      <c r="I520" s="39"/>
      <c r="J520" s="39"/>
      <c r="K520" s="39"/>
      <c r="L520" s="40">
        <v>0.72</v>
      </c>
      <c r="M520" s="40">
        <v>1.08</v>
      </c>
      <c r="N520" s="39"/>
      <c r="O520" s="39"/>
      <c r="P520" s="39"/>
      <c r="Q520" s="39"/>
      <c r="R520" s="39"/>
      <c r="S520" s="285">
        <v>0.17</v>
      </c>
      <c r="T520" s="38">
        <f>ROUND((L520*I516+1.3*L520*K516+S520*H516),4)</f>
        <v>1104.4559999999999</v>
      </c>
      <c r="U520" s="38">
        <f>ROUND((M520*0.9*I516+1.3*M520*0.9*K516+S520*H516),4)</f>
        <v>1487.4456</v>
      </c>
      <c r="V520" s="38">
        <f>ROUND((M520*I516+1.3*M520*K516+S520*H516),4)</f>
        <v>1651.5840000000001</v>
      </c>
      <c r="W520" s="38">
        <f>ROUND((L520*J516+1.3*L520*N516+S520*G516),4)</f>
        <v>20.46</v>
      </c>
      <c r="X520" s="38">
        <f>ROUND((M520*0.9*J516+1.3*M520*0.9*N516+S520*G516),4)</f>
        <v>27.263999999999999</v>
      </c>
      <c r="Y520" s="38">
        <f>ROUND((M520*J516+1.3*M520*N516+S520*G516),4)</f>
        <v>30.18</v>
      </c>
      <c r="Z520" s="276">
        <f>ROUND((P516*T520*F516*O516/1000000),4)</f>
        <v>0.1988</v>
      </c>
      <c r="AA520" s="276">
        <f>ROUND((Q516*U520*F516*O516/1000000),4)</f>
        <v>0.13389999999999999</v>
      </c>
      <c r="AB520" s="276">
        <f>ROUND((R516*V520*F516*O516/1000000),4)</f>
        <v>0.14860000000000001</v>
      </c>
      <c r="AC520" s="277" t="s">
        <v>172</v>
      </c>
      <c r="AD520" s="278" t="s">
        <v>173</v>
      </c>
      <c r="AE520" s="40">
        <f>ROUND((((X520*E516)/1800)),4)</f>
        <v>1.5100000000000001E-2</v>
      </c>
      <c r="AF520" s="40">
        <f>ROUND(((Z520+AA520+AB520)),4)</f>
        <v>0.48130000000000001</v>
      </c>
      <c r="AG520" s="254"/>
      <c r="AH520" s="254"/>
    </row>
    <row r="521" spans="1:34" s="61" customFormat="1" ht="15" customHeight="1" x14ac:dyDescent="0.25">
      <c r="A521" s="289"/>
      <c r="B521" s="286"/>
      <c r="C521" s="119"/>
      <c r="D521" s="119"/>
      <c r="E521" s="119"/>
      <c r="F521" s="119"/>
      <c r="G521" s="119"/>
      <c r="H521" s="119"/>
      <c r="I521" s="119"/>
      <c r="J521" s="119"/>
      <c r="K521" s="119"/>
      <c r="L521" s="40">
        <v>3.37</v>
      </c>
      <c r="M521" s="40">
        <v>4.1100000000000003</v>
      </c>
      <c r="N521" s="119"/>
      <c r="O521" s="119"/>
      <c r="P521" s="119"/>
      <c r="Q521" s="119"/>
      <c r="R521" s="119"/>
      <c r="S521" s="285">
        <v>6.31</v>
      </c>
      <c r="T521" s="38">
        <f>ROUND((L521*I516+1.3*L521*K516+S521*H516),4)</f>
        <v>5500.326</v>
      </c>
      <c r="U521" s="38">
        <f>ROUND((M521*0.9*I516+1.3*M521*0.9*K516+S521*H516),4)</f>
        <v>6000.3401999999996</v>
      </c>
      <c r="V521" s="38">
        <f>ROUND((M521*I516+1.3*M521*K516+S521*H516),4)</f>
        <v>6624.9780000000001</v>
      </c>
      <c r="W521" s="38">
        <f>ROUND((L521*J516+1.3*L521*N516+S521*G516),4)</f>
        <v>128.85</v>
      </c>
      <c r="X521" s="38">
        <f>ROUND((M521*0.9*J516+1.3*M521*0.9*N516+S521*G516),4)</f>
        <v>137.733</v>
      </c>
      <c r="Y521" s="38">
        <f>ROUND((M521*J516+1.3*M521*N516+S521*G516),4)</f>
        <v>148.83000000000001</v>
      </c>
      <c r="Z521" s="276">
        <f>ROUND((P516*T521*F516*O516/1000000),4)</f>
        <v>0.99009999999999998</v>
      </c>
      <c r="AA521" s="276">
        <f>ROUND((Q516*U521*F516*O516/1000000),4)</f>
        <v>0.54</v>
      </c>
      <c r="AB521" s="276">
        <f>ROUND((R516*V521*F516*O516/1000000),4)</f>
        <v>0.59619999999999995</v>
      </c>
      <c r="AC521" s="277" t="s">
        <v>157</v>
      </c>
      <c r="AD521" s="278" t="s">
        <v>153</v>
      </c>
      <c r="AE521" s="40">
        <f>ROUND((((X521*E516)/1800)),4)</f>
        <v>7.6499999999999999E-2</v>
      </c>
      <c r="AF521" s="40">
        <f>ROUND(((Z521+AA521+AB521)),4)</f>
        <v>2.1263000000000001</v>
      </c>
      <c r="AG521" s="254"/>
      <c r="AH521" s="254"/>
    </row>
    <row r="522" spans="1:34" s="61" customFormat="1" ht="15" customHeight="1" x14ac:dyDescent="0.25">
      <c r="A522" s="289"/>
      <c r="B522" s="1478" t="s">
        <v>568</v>
      </c>
      <c r="C522" s="274">
        <v>6</v>
      </c>
      <c r="D522" s="38" t="s">
        <v>556</v>
      </c>
      <c r="E522" s="38">
        <v>1</v>
      </c>
      <c r="F522" s="38">
        <v>1</v>
      </c>
      <c r="G522" s="38">
        <v>6</v>
      </c>
      <c r="H522" s="38">
        <v>60</v>
      </c>
      <c r="I522" s="38">
        <f>(8-1-0.75*2)*60*F522-K522-8*0.12*60</f>
        <v>57.900000000000006</v>
      </c>
      <c r="J522" s="38">
        <v>14</v>
      </c>
      <c r="K522" s="38">
        <f>(8-1-0.75*2)*0.65*60*F522</f>
        <v>214.5</v>
      </c>
      <c r="L522" s="38">
        <v>6.47</v>
      </c>
      <c r="M522" s="38">
        <v>6.47</v>
      </c>
      <c r="N522" s="38">
        <v>10</v>
      </c>
      <c r="O522" s="38">
        <f>E522/F522</f>
        <v>1</v>
      </c>
      <c r="P522" s="38">
        <v>180</v>
      </c>
      <c r="Q522" s="38">
        <v>90</v>
      </c>
      <c r="R522" s="275">
        <v>90</v>
      </c>
      <c r="S522" s="275">
        <v>1.27</v>
      </c>
      <c r="T522" s="38">
        <f>ROUND((L522*I522+1.3*L522*K522+S522*H522),4)</f>
        <v>2254.9724999999999</v>
      </c>
      <c r="U522" s="38">
        <f>ROUND((M522*I522+1.3*M522*K522+S522*H522),4)</f>
        <v>2254.9724999999999</v>
      </c>
      <c r="V522" s="38">
        <f>ROUND((M522*I522+1.3*M522*K522+S522*H522),4)</f>
        <v>2254.9724999999999</v>
      </c>
      <c r="W522" s="38">
        <f>ROUND((L522*J522+1.3*L522*N522+S522*G522),4)</f>
        <v>182.31</v>
      </c>
      <c r="X522" s="38">
        <f>ROUND((M522*J522+1.3*M522*N522+S522*G522),4)</f>
        <v>182.31</v>
      </c>
      <c r="Y522" s="38">
        <f>ROUND((M522*J522+1.3*M522*N522+S522*G522),4)</f>
        <v>182.31</v>
      </c>
      <c r="Z522" s="276">
        <f>ROUND((P522*T522*F522*O522/1000000),4)</f>
        <v>0.40589999999999998</v>
      </c>
      <c r="AA522" s="276">
        <f>ROUND((Q522*U522*F522*O522/1000000),4)</f>
        <v>0.2029</v>
      </c>
      <c r="AB522" s="276">
        <f>ROUND((R522*V522*F522*O522/1000000),4)</f>
        <v>0.2029</v>
      </c>
      <c r="AC522" s="277" t="s">
        <v>165</v>
      </c>
      <c r="AD522" s="278" t="s">
        <v>144</v>
      </c>
      <c r="AE522" s="40">
        <f>ROUND((((X522*E522)/1800)*0.8),4)</f>
        <v>8.1000000000000003E-2</v>
      </c>
      <c r="AF522" s="40">
        <f>ROUND(((Z522+AA522+AB522)*0.8),4)</f>
        <v>0.64939999999999998</v>
      </c>
      <c r="AG522" s="288"/>
      <c r="AH522" s="288"/>
    </row>
    <row r="523" spans="1:34" s="61" customFormat="1" ht="15" customHeight="1" x14ac:dyDescent="0.25">
      <c r="A523" s="289"/>
      <c r="B523" s="1634"/>
      <c r="C523" s="39"/>
      <c r="D523" s="39"/>
      <c r="E523" s="39"/>
      <c r="F523" s="39"/>
      <c r="G523" s="39"/>
      <c r="H523" s="39"/>
      <c r="I523" s="39"/>
      <c r="J523" s="39"/>
      <c r="K523" s="39"/>
      <c r="L523" s="119"/>
      <c r="M523" s="119"/>
      <c r="N523" s="39"/>
      <c r="O523" s="39"/>
      <c r="P523" s="39"/>
      <c r="Q523" s="39"/>
      <c r="R523" s="39"/>
      <c r="S523" s="281"/>
      <c r="T523" s="39"/>
      <c r="U523" s="39"/>
      <c r="V523" s="39"/>
      <c r="W523" s="39"/>
      <c r="X523" s="39"/>
      <c r="Y523" s="39"/>
      <c r="Z523" s="39"/>
      <c r="AA523" s="39"/>
      <c r="AB523" s="39"/>
      <c r="AC523" s="277" t="s">
        <v>166</v>
      </c>
      <c r="AD523" s="278" t="s">
        <v>167</v>
      </c>
      <c r="AE523" s="40">
        <f>ROUND((((X522*E522)/1800)*0.13),4)</f>
        <v>1.32E-2</v>
      </c>
      <c r="AF523" s="40">
        <f>ROUND(((Z522+AA522+AB522)*0.13),4)</f>
        <v>0.1055</v>
      </c>
      <c r="AG523" s="288"/>
      <c r="AH523" s="288"/>
    </row>
    <row r="524" spans="1:34" s="61" customFormat="1" ht="15" customHeight="1" x14ac:dyDescent="0.25">
      <c r="A524" s="289"/>
      <c r="B524" s="280" t="s">
        <v>605</v>
      </c>
      <c r="C524" s="283"/>
      <c r="D524" s="283"/>
      <c r="E524" s="39"/>
      <c r="F524" s="39"/>
      <c r="G524" s="39"/>
      <c r="H524" s="39"/>
      <c r="I524" s="39"/>
      <c r="J524" s="39"/>
      <c r="K524" s="39"/>
      <c r="L524" s="40">
        <v>0.51</v>
      </c>
      <c r="M524" s="40">
        <v>0.63</v>
      </c>
      <c r="N524" s="39"/>
      <c r="O524" s="39"/>
      <c r="P524" s="39"/>
      <c r="Q524" s="39"/>
      <c r="R524" s="39"/>
      <c r="S524" s="284">
        <v>0.25</v>
      </c>
      <c r="T524" s="38">
        <f>ROUND((L524*I522+1.3*L524*K522+S524*H522),4)</f>
        <v>186.74250000000001</v>
      </c>
      <c r="U524" s="38">
        <f>ROUND((M524*0.9*I522+1.3*M524*0.9*K522+S524*H522),4)</f>
        <v>205.93729999999999</v>
      </c>
      <c r="V524" s="38">
        <f>ROUND((M524*I522+1.3*M524*K522+S524*H522),4)</f>
        <v>227.1525</v>
      </c>
      <c r="W524" s="38">
        <f>ROUND((L524*J522+1.3*L524*N522+S524*G522),4)</f>
        <v>15.27</v>
      </c>
      <c r="X524" s="38">
        <f>ROUND((M524*0.9*J522+1.3*M524*0.9*N522+S524*G522),4)</f>
        <v>16.809000000000001</v>
      </c>
      <c r="Y524" s="38">
        <f>ROUND((M524*J522+1.3*M524*N522+S524*G522),4)</f>
        <v>18.510000000000002</v>
      </c>
      <c r="Z524" s="276">
        <f>ROUND((P522*T524*F522*O522/1000000),4)</f>
        <v>3.3599999999999998E-2</v>
      </c>
      <c r="AA524" s="276">
        <f>ROUND((Q522*U524*F522*O522/1000000),4)</f>
        <v>1.8499999999999999E-2</v>
      </c>
      <c r="AB524" s="276">
        <f>ROUND((R522*V524*F522*O522/1000000),4)</f>
        <v>2.0400000000000001E-2</v>
      </c>
      <c r="AC524" s="277" t="s">
        <v>547</v>
      </c>
      <c r="AD524" s="278" t="s">
        <v>169</v>
      </c>
      <c r="AE524" s="40">
        <f>ROUND((((X524*E522)/1800)),4)</f>
        <v>9.2999999999999992E-3</v>
      </c>
      <c r="AF524" s="40">
        <f>ROUND(((Z524+AA524+AB524)),5)</f>
        <v>7.2499999999999995E-2</v>
      </c>
      <c r="AG524" s="288"/>
      <c r="AH524" s="288"/>
    </row>
    <row r="525" spans="1:34" s="61" customFormat="1" ht="15" customHeight="1" x14ac:dyDescent="0.25">
      <c r="A525" s="289"/>
      <c r="B525" s="288"/>
      <c r="C525" s="39"/>
      <c r="D525" s="39"/>
      <c r="E525" s="39"/>
      <c r="F525" s="39"/>
      <c r="G525" s="39"/>
      <c r="H525" s="39"/>
      <c r="I525" s="39"/>
      <c r="J525" s="39"/>
      <c r="K525" s="39"/>
      <c r="L525" s="40">
        <v>1.1399999999999999</v>
      </c>
      <c r="M525" s="40">
        <v>1.37</v>
      </c>
      <c r="N525" s="39"/>
      <c r="O525" s="39"/>
      <c r="P525" s="39"/>
      <c r="Q525" s="39"/>
      <c r="R525" s="39"/>
      <c r="S525" s="285">
        <v>0.79</v>
      </c>
      <c r="T525" s="38">
        <f>ROUND((L525*I522+1.3*L525*K522+S525*H522),4)</f>
        <v>431.29500000000002</v>
      </c>
      <c r="U525" s="38">
        <f>ROUND((M525*0.9*I522+1.3*M525*0.9*K522+S525*H522),4)</f>
        <v>462.61279999999999</v>
      </c>
      <c r="V525" s="38">
        <f>ROUND((M525*I522+1.3*M525*K522+S525*H522),4)</f>
        <v>508.7475</v>
      </c>
      <c r="W525" s="38">
        <f>ROUND((L525*J522+1.3*L525*N522+S525*G522),4)</f>
        <v>35.520000000000003</v>
      </c>
      <c r="X525" s="38">
        <f>ROUND((M525*0.9*J522+1.3*M525*0.9*N522+S525*G522),4)</f>
        <v>38.030999999999999</v>
      </c>
      <c r="Y525" s="38">
        <f>ROUND((M525*J522+1.3*N522+S525*G522),4)</f>
        <v>36.92</v>
      </c>
      <c r="Z525" s="276">
        <f>ROUND((P522*T525*F522*O522/1000000),4)</f>
        <v>7.7600000000000002E-2</v>
      </c>
      <c r="AA525" s="276">
        <f>ROUND((Q522*U525*F522*O522/1000000),4)</f>
        <v>4.1599999999999998E-2</v>
      </c>
      <c r="AB525" s="276">
        <f>ROUND((R522*V525*F522*O522/1000000),4)</f>
        <v>4.58E-2</v>
      </c>
      <c r="AC525" s="277" t="s">
        <v>548</v>
      </c>
      <c r="AD525" s="278" t="s">
        <v>549</v>
      </c>
      <c r="AE525" s="40">
        <f>ROUND((((X525*E522)/1800)),4)</f>
        <v>2.1100000000000001E-2</v>
      </c>
      <c r="AF525" s="40">
        <f>ROUND(((Z525+AA525+AB525)),4)</f>
        <v>0.16500000000000001</v>
      </c>
      <c r="AG525" s="288"/>
      <c r="AH525" s="288"/>
    </row>
    <row r="526" spans="1:34" s="61" customFormat="1" ht="15" customHeight="1" x14ac:dyDescent="0.25">
      <c r="A526" s="289"/>
      <c r="B526" s="280"/>
      <c r="C526" s="39"/>
      <c r="D526" s="39"/>
      <c r="E526" s="39"/>
      <c r="F526" s="39"/>
      <c r="G526" s="39"/>
      <c r="H526" s="39"/>
      <c r="I526" s="39"/>
      <c r="J526" s="39"/>
      <c r="K526" s="39"/>
      <c r="L526" s="40">
        <v>0.72</v>
      </c>
      <c r="M526" s="40">
        <v>1.08</v>
      </c>
      <c r="N526" s="39"/>
      <c r="O526" s="39"/>
      <c r="P526" s="39"/>
      <c r="Q526" s="39"/>
      <c r="R526" s="39"/>
      <c r="S526" s="285">
        <v>0.17</v>
      </c>
      <c r="T526" s="38">
        <f>ROUND((L526*I522+1.3*L526*K522+S526*H522),4)</f>
        <v>252.66</v>
      </c>
      <c r="U526" s="38">
        <f>ROUND((M526*0.9*I522+1.3*M526*0.9*K522+S526*H522),4)</f>
        <v>337.52100000000002</v>
      </c>
      <c r="V526" s="38">
        <f>ROUND((M526*I522+1.3*M526*K522+S526*H522),4)</f>
        <v>373.89</v>
      </c>
      <c r="W526" s="38">
        <f>ROUND((L526*J522+1.3*L526*N522+S526*G522),4)</f>
        <v>20.46</v>
      </c>
      <c r="X526" s="38">
        <f>ROUND((M526*0.9*J522+1.3*M526*0.9*N522+S526*G522),4)</f>
        <v>27.263999999999999</v>
      </c>
      <c r="Y526" s="38">
        <f>ROUND((M526*J522+1.3*M526*N522+S526*G522),4)</f>
        <v>30.18</v>
      </c>
      <c r="Z526" s="276">
        <f>ROUND((P522*T526*F522*O522/1000000),4)</f>
        <v>4.5499999999999999E-2</v>
      </c>
      <c r="AA526" s="276">
        <f>ROUND((Q522*U526*F522*O522/1000000),4)</f>
        <v>3.04E-2</v>
      </c>
      <c r="AB526" s="276">
        <f>ROUND((R522*V526*F522*O522/1000000),4)</f>
        <v>3.3700000000000001E-2</v>
      </c>
      <c r="AC526" s="277" t="s">
        <v>172</v>
      </c>
      <c r="AD526" s="278" t="s">
        <v>173</v>
      </c>
      <c r="AE526" s="40">
        <f>ROUND((((X526*E522)/1800)),4)</f>
        <v>1.5100000000000001E-2</v>
      </c>
      <c r="AF526" s="40">
        <f>ROUND(((Z526+AA526+AB526)),4)</f>
        <v>0.1096</v>
      </c>
      <c r="AG526" s="288"/>
      <c r="AH526" s="288"/>
    </row>
    <row r="527" spans="1:34" s="61" customFormat="1" ht="15" customHeight="1" x14ac:dyDescent="0.25">
      <c r="A527" s="289"/>
      <c r="B527" s="286"/>
      <c r="C527" s="119"/>
      <c r="D527" s="119"/>
      <c r="E527" s="119"/>
      <c r="F527" s="119"/>
      <c r="G527" s="119"/>
      <c r="H527" s="119"/>
      <c r="I527" s="119"/>
      <c r="J527" s="119"/>
      <c r="K527" s="119"/>
      <c r="L527" s="40">
        <v>3.37</v>
      </c>
      <c r="M527" s="40">
        <v>4.1100000000000003</v>
      </c>
      <c r="N527" s="119"/>
      <c r="O527" s="119"/>
      <c r="P527" s="119"/>
      <c r="Q527" s="119"/>
      <c r="R527" s="119"/>
      <c r="S527" s="285">
        <v>6.31</v>
      </c>
      <c r="T527" s="38">
        <f>ROUND((L527*I522+1.3*L527*K522+S527*H522),4)</f>
        <v>1513.4475</v>
      </c>
      <c r="U527" s="38">
        <f>ROUND((M527*0.9*I522+1.3*M527*0.9*K522+S527*H522),4)</f>
        <v>1624.2383</v>
      </c>
      <c r="V527" s="38">
        <f>ROUND((M527*I522+1.3*M527*K522+S527*H522),4)</f>
        <v>1762.6424999999999</v>
      </c>
      <c r="W527" s="38">
        <f>ROUND((L527*J522+1.3*L527*N522+S527*G522),4)</f>
        <v>128.85</v>
      </c>
      <c r="X527" s="38">
        <f>ROUND((M527*0.9*J522+1.3*M527*0.9*N522+S527*G522),4)</f>
        <v>137.733</v>
      </c>
      <c r="Y527" s="38">
        <f>ROUND((M527*J522+1.3*M527*N522+S527*G522),4)</f>
        <v>148.83000000000001</v>
      </c>
      <c r="Z527" s="276">
        <f>ROUND((P522*T527*F522*O522/1000000),4)</f>
        <v>0.27239999999999998</v>
      </c>
      <c r="AA527" s="276">
        <f>ROUND((Q522*U527*F522*O522/1000000),4)</f>
        <v>0.1462</v>
      </c>
      <c r="AB527" s="276">
        <f>ROUND((R522*V527*F522*O522/1000000),4)</f>
        <v>0.15859999999999999</v>
      </c>
      <c r="AC527" s="277" t="s">
        <v>157</v>
      </c>
      <c r="AD527" s="278" t="s">
        <v>153</v>
      </c>
      <c r="AE527" s="40">
        <f>ROUND((((X527*E522)/1800)),4)</f>
        <v>7.6499999999999999E-2</v>
      </c>
      <c r="AF527" s="40">
        <f>ROUND(((Z527+AA527+AB527)),4)</f>
        <v>0.57720000000000005</v>
      </c>
      <c r="AG527" s="288"/>
      <c r="AH527" s="288"/>
    </row>
    <row r="528" spans="1:34" s="61" customFormat="1" ht="15" customHeight="1" x14ac:dyDescent="0.25">
      <c r="A528" s="289"/>
      <c r="B528" s="1478" t="s">
        <v>568</v>
      </c>
      <c r="C528" s="274">
        <v>7</v>
      </c>
      <c r="D528" s="38" t="s">
        <v>560</v>
      </c>
      <c r="E528" s="38">
        <v>1</v>
      </c>
      <c r="F528" s="38">
        <v>1</v>
      </c>
      <c r="G528" s="38">
        <v>6</v>
      </c>
      <c r="H528" s="38">
        <v>60</v>
      </c>
      <c r="I528" s="38">
        <f>(8-1-0.75*2)*60*F528-K528-8*0.12*60</f>
        <v>57.900000000000006</v>
      </c>
      <c r="J528" s="38">
        <v>14</v>
      </c>
      <c r="K528" s="38">
        <f>(8-1-0.75*2)*0.65*60*F528</f>
        <v>214.5</v>
      </c>
      <c r="L528" s="38">
        <v>10.16</v>
      </c>
      <c r="M528" s="38">
        <v>10.16</v>
      </c>
      <c r="N528" s="38">
        <v>10</v>
      </c>
      <c r="O528" s="38">
        <f>E528/F528</f>
        <v>1</v>
      </c>
      <c r="P528" s="38">
        <v>180</v>
      </c>
      <c r="Q528" s="38">
        <v>90</v>
      </c>
      <c r="R528" s="275">
        <v>90</v>
      </c>
      <c r="S528" s="275">
        <v>1.99</v>
      </c>
      <c r="T528" s="38">
        <f>ROUND((L528*I528+1.3*L528*K528+S528*H528),4)</f>
        <v>3540.78</v>
      </c>
      <c r="U528" s="38">
        <f>ROUND((M528*I528+1.3*M528*K528+S528*H528),4)</f>
        <v>3540.78</v>
      </c>
      <c r="V528" s="38">
        <f>ROUND((M528*I528+1.3*M528*K528+S528*H528),4)</f>
        <v>3540.78</v>
      </c>
      <c r="W528" s="38">
        <f>ROUND((L528*J528+1.3*L528*N528+S528*G528),4)</f>
        <v>286.26</v>
      </c>
      <c r="X528" s="38">
        <f>ROUND((M528*J528+1.3*M528*N528+S528*G528),4)</f>
        <v>286.26</v>
      </c>
      <c r="Y528" s="38">
        <f>ROUND((M528*J528+1.3*M528*N528+S528*G528),4)</f>
        <v>286.26</v>
      </c>
      <c r="Z528" s="276">
        <f>ROUND((P528*T528*F528*O528/1000000),4)</f>
        <v>0.63729999999999998</v>
      </c>
      <c r="AA528" s="276">
        <f>ROUND((Q528*U528*F528*O528/1000000),4)</f>
        <v>0.31869999999999998</v>
      </c>
      <c r="AB528" s="276">
        <f>ROUND((R528*V528*F528*O528/1000000),4)</f>
        <v>0.31869999999999998</v>
      </c>
      <c r="AC528" s="277" t="s">
        <v>165</v>
      </c>
      <c r="AD528" s="278" t="s">
        <v>144</v>
      </c>
      <c r="AE528" s="40">
        <f>ROUND((((X528*E528)/1800)*0.8),4)</f>
        <v>0.12720000000000001</v>
      </c>
      <c r="AF528" s="40">
        <f>ROUND(((Z528+AA528+AB528)*0.8),4)</f>
        <v>1.0198</v>
      </c>
      <c r="AG528" s="254"/>
      <c r="AH528" s="254"/>
    </row>
    <row r="529" spans="1:34" s="61" customFormat="1" ht="15" customHeight="1" x14ac:dyDescent="0.25">
      <c r="A529" s="289"/>
      <c r="B529" s="1634"/>
      <c r="C529" s="39"/>
      <c r="D529" s="39"/>
      <c r="E529" s="39"/>
      <c r="F529" s="39"/>
      <c r="G529" s="39"/>
      <c r="H529" s="39"/>
      <c r="I529" s="39"/>
      <c r="J529" s="39"/>
      <c r="K529" s="39"/>
      <c r="L529" s="119"/>
      <c r="M529" s="119"/>
      <c r="N529" s="39"/>
      <c r="O529" s="39"/>
      <c r="P529" s="39"/>
      <c r="Q529" s="39"/>
      <c r="R529" s="39"/>
      <c r="S529" s="281"/>
      <c r="T529" s="39"/>
      <c r="U529" s="39"/>
      <c r="V529" s="39"/>
      <c r="W529" s="39"/>
      <c r="X529" s="39"/>
      <c r="Y529" s="39"/>
      <c r="Z529" s="39"/>
      <c r="AA529" s="39"/>
      <c r="AB529" s="39"/>
      <c r="AC529" s="277" t="s">
        <v>166</v>
      </c>
      <c r="AD529" s="278" t="s">
        <v>167</v>
      </c>
      <c r="AE529" s="40">
        <f>ROUND((((X528*E528)/1800)*0.13),4)</f>
        <v>2.07E-2</v>
      </c>
      <c r="AF529" s="40">
        <f>ROUND(((Z528+AA528+AB528)*0.13),4)</f>
        <v>0.16569999999999999</v>
      </c>
      <c r="AG529" s="254"/>
      <c r="AH529" s="254"/>
    </row>
    <row r="530" spans="1:34" s="61" customFormat="1" ht="15" customHeight="1" x14ac:dyDescent="0.25">
      <c r="A530" s="289"/>
      <c r="B530" s="1634" t="s">
        <v>591</v>
      </c>
      <c r="C530" s="283"/>
      <c r="D530" s="283"/>
      <c r="E530" s="39"/>
      <c r="F530" s="39"/>
      <c r="G530" s="39"/>
      <c r="H530" s="39"/>
      <c r="I530" s="39"/>
      <c r="J530" s="39"/>
      <c r="K530" s="39"/>
      <c r="L530" s="40">
        <v>0.8</v>
      </c>
      <c r="M530" s="40">
        <v>0.98</v>
      </c>
      <c r="N530" s="39"/>
      <c r="O530" s="39"/>
      <c r="P530" s="39"/>
      <c r="Q530" s="39"/>
      <c r="R530" s="39"/>
      <c r="S530" s="284">
        <v>0.39</v>
      </c>
      <c r="T530" s="38">
        <f>ROUND((L530*I528+1.3*L530*K528+S530*H528),4)</f>
        <v>292.8</v>
      </c>
      <c r="U530" s="38">
        <f>ROUND((M530*0.9*I528+1.3*M530*0.9*K528+S530*H528),4)</f>
        <v>320.4135</v>
      </c>
      <c r="V530" s="38">
        <f>ROUND((M530*I528+1.3*M530*K528+S530*H528),4)</f>
        <v>353.41500000000002</v>
      </c>
      <c r="W530" s="38">
        <f>ROUND((L530*J528+1.3*L530*N528+S530*G528),4)</f>
        <v>23.94</v>
      </c>
      <c r="X530" s="38">
        <f>ROUND((M530*0.9*J528+1.3*M530*0.9*N528+S530*G528),4)</f>
        <v>26.154</v>
      </c>
      <c r="Y530" s="38">
        <f>ROUND((M530*J528+1.3*M530*N528+S530*G528),4)</f>
        <v>28.8</v>
      </c>
      <c r="Z530" s="276">
        <f>ROUND((P528*T530*F528*O528/1000000),4)</f>
        <v>5.2699999999999997E-2</v>
      </c>
      <c r="AA530" s="276">
        <f>ROUND((Q528*U530*F528*O528/1000000),4)</f>
        <v>2.8799999999999999E-2</v>
      </c>
      <c r="AB530" s="276">
        <f>ROUND((R528*V530*F528*O528/1000000),4)</f>
        <v>3.1800000000000002E-2</v>
      </c>
      <c r="AC530" s="277" t="s">
        <v>547</v>
      </c>
      <c r="AD530" s="278" t="s">
        <v>169</v>
      </c>
      <c r="AE530" s="40">
        <f>ROUND((((X530*E528)/1800)),4)</f>
        <v>1.4500000000000001E-2</v>
      </c>
      <c r="AF530" s="40">
        <f>ROUND(((Z530+AA530+AB530)),5)</f>
        <v>0.1133</v>
      </c>
      <c r="AG530" s="254"/>
      <c r="AH530" s="254"/>
    </row>
    <row r="531" spans="1:34" s="61" customFormat="1" ht="15" customHeight="1" x14ac:dyDescent="0.25">
      <c r="A531" s="289"/>
      <c r="B531" s="1634"/>
      <c r="C531" s="39"/>
      <c r="D531" s="39"/>
      <c r="E531" s="39"/>
      <c r="F531" s="39"/>
      <c r="G531" s="39"/>
      <c r="H531" s="39"/>
      <c r="I531" s="39"/>
      <c r="J531" s="39"/>
      <c r="K531" s="39"/>
      <c r="L531" s="40">
        <v>1.79</v>
      </c>
      <c r="M531" s="40">
        <v>2.15</v>
      </c>
      <c r="N531" s="39"/>
      <c r="O531" s="39"/>
      <c r="P531" s="39"/>
      <c r="Q531" s="39"/>
      <c r="R531" s="39"/>
      <c r="S531" s="285">
        <v>1.24</v>
      </c>
      <c r="T531" s="38">
        <f>ROUND((L531*I528+1.3*L531*K528+S531*H528),4)</f>
        <v>677.1825</v>
      </c>
      <c r="U531" s="38">
        <f>ROUND((M531*0.9*I528+1.3*M531*0.9*K528+S531*H528),4)</f>
        <v>726.01130000000001</v>
      </c>
      <c r="V531" s="38">
        <f>ROUND((M531*I528+1.3*M531*K528+S531*H528),4)</f>
        <v>798.41250000000002</v>
      </c>
      <c r="W531" s="38">
        <f>ROUND((L531*J528+1.3*L531*N528+S531*G528),4)</f>
        <v>55.77</v>
      </c>
      <c r="X531" s="38">
        <f>ROUND((M531*0.9*J528+1.3*M531*0.9*N528+S531*G528),4)</f>
        <v>59.685000000000002</v>
      </c>
      <c r="Y531" s="38">
        <f>ROUND((M531*J528+1.3*N528+S531*G528),4)</f>
        <v>50.54</v>
      </c>
      <c r="Z531" s="276">
        <f>ROUND((P528*T531*F528*O528/1000000),4)</f>
        <v>0.12189999999999999</v>
      </c>
      <c r="AA531" s="276">
        <f>ROUND((Q528*U531*F528*O528/1000000),4)</f>
        <v>6.5299999999999997E-2</v>
      </c>
      <c r="AB531" s="276">
        <f>ROUND((R528*V531*F528*O528/1000000),4)</f>
        <v>7.1900000000000006E-2</v>
      </c>
      <c r="AC531" s="277" t="s">
        <v>548</v>
      </c>
      <c r="AD531" s="278" t="s">
        <v>549</v>
      </c>
      <c r="AE531" s="40">
        <f>ROUND((((X531*E528)/1800)),4)</f>
        <v>3.32E-2</v>
      </c>
      <c r="AF531" s="40">
        <f>ROUND(((Z531+AA531+AB531)),4)</f>
        <v>0.2591</v>
      </c>
      <c r="AG531" s="254"/>
      <c r="AH531" s="254"/>
    </row>
    <row r="532" spans="1:34" s="61" customFormat="1" ht="15" customHeight="1" x14ac:dyDescent="0.25">
      <c r="A532" s="289"/>
      <c r="B532" s="280"/>
      <c r="C532" s="39"/>
      <c r="D532" s="39"/>
      <c r="E532" s="39"/>
      <c r="F532" s="39"/>
      <c r="G532" s="39"/>
      <c r="H532" s="39"/>
      <c r="I532" s="39"/>
      <c r="J532" s="39"/>
      <c r="K532" s="39"/>
      <c r="L532" s="40">
        <v>1.1299999999999999</v>
      </c>
      <c r="M532" s="40">
        <v>1.7</v>
      </c>
      <c r="N532" s="39"/>
      <c r="O532" s="39"/>
      <c r="P532" s="39"/>
      <c r="Q532" s="39"/>
      <c r="R532" s="39"/>
      <c r="S532" s="285">
        <v>0.26</v>
      </c>
      <c r="T532" s="38">
        <f>ROUND((L532*I528+1.3*L532*K528+S532*H528),4)</f>
        <v>396.1275</v>
      </c>
      <c r="U532" s="38">
        <f>ROUND((M532*0.9*I528+1.3*M532*0.9*K528+S532*H528),4)</f>
        <v>530.82749999999999</v>
      </c>
      <c r="V532" s="38">
        <f>ROUND((M532*I528+1.3*M532*K528+S532*H528),4)</f>
        <v>588.07500000000005</v>
      </c>
      <c r="W532" s="38">
        <f>ROUND((L532*J528+1.3*L532*N528+S532*G528),4)</f>
        <v>32.07</v>
      </c>
      <c r="X532" s="38">
        <f>ROUND((M532*0.9*J528+1.3*M532*0.9*N528+S532*G528),4)</f>
        <v>42.87</v>
      </c>
      <c r="Y532" s="38">
        <f>ROUND((M532*J528+1.3*M532*N528+S532*G528),4)</f>
        <v>47.46</v>
      </c>
      <c r="Z532" s="276">
        <f>ROUND((P528*T532*F528*O528/1000000),4)</f>
        <v>7.1300000000000002E-2</v>
      </c>
      <c r="AA532" s="276">
        <f>ROUND((Q528*U532*F528*O528/1000000),4)</f>
        <v>4.7800000000000002E-2</v>
      </c>
      <c r="AB532" s="276">
        <f>ROUND((R528*V532*F528*O528/1000000),4)</f>
        <v>5.2900000000000003E-2</v>
      </c>
      <c r="AC532" s="277" t="s">
        <v>172</v>
      </c>
      <c r="AD532" s="278" t="s">
        <v>173</v>
      </c>
      <c r="AE532" s="40">
        <f>ROUND((((X532*E528)/1800)),4)</f>
        <v>2.3800000000000002E-2</v>
      </c>
      <c r="AF532" s="40">
        <f>ROUND(((Z532+AA532+AB532)),4)</f>
        <v>0.17199999999999999</v>
      </c>
      <c r="AG532" s="254"/>
      <c r="AH532" s="254"/>
    </row>
    <row r="533" spans="1:34" s="61" customFormat="1" ht="15" customHeight="1" x14ac:dyDescent="0.25">
      <c r="A533" s="289"/>
      <c r="B533" s="286"/>
      <c r="C533" s="119"/>
      <c r="D533" s="119"/>
      <c r="E533" s="119"/>
      <c r="F533" s="119"/>
      <c r="G533" s="119"/>
      <c r="H533" s="119"/>
      <c r="I533" s="119"/>
      <c r="J533" s="119"/>
      <c r="K533" s="119"/>
      <c r="L533" s="40">
        <v>5.3</v>
      </c>
      <c r="M533" s="40">
        <v>6.47</v>
      </c>
      <c r="N533" s="119"/>
      <c r="O533" s="119"/>
      <c r="P533" s="119"/>
      <c r="Q533" s="119"/>
      <c r="R533" s="119"/>
      <c r="S533" s="285">
        <v>9.92</v>
      </c>
      <c r="T533" s="38">
        <f>ROUND((L533*I528+1.3*L533*K528+S533*H528),4)</f>
        <v>2379.9749999999999</v>
      </c>
      <c r="U533" s="38">
        <f>ROUND((M533*0.9*I528+1.3*M533*0.9*K528+S533*H528),4)</f>
        <v>2556.0953</v>
      </c>
      <c r="V533" s="38">
        <f>ROUND((M533*I528+1.3*M533*K528+S533*H528),4)</f>
        <v>2773.9724999999999</v>
      </c>
      <c r="W533" s="38">
        <f>ROUND((L533*J528+1.3*L533*N528+S533*G528),4)</f>
        <v>202.62</v>
      </c>
      <c r="X533" s="38">
        <f>ROUND((M533*0.9*J528+1.3*M533*0.9*N528+S533*G528),4)</f>
        <v>216.74100000000001</v>
      </c>
      <c r="Y533" s="38">
        <f>ROUND((M533*J528+1.3*M533*N528+S533*G528),4)</f>
        <v>234.21</v>
      </c>
      <c r="Z533" s="276">
        <f>ROUND((P528*T533*F528*O528/1000000),4)</f>
        <v>0.4284</v>
      </c>
      <c r="AA533" s="276">
        <f>ROUND((Q528*U533*F528*O528/1000000),4)</f>
        <v>0.23</v>
      </c>
      <c r="AB533" s="276">
        <f>ROUND((R528*V533*F528*O528/1000000),4)</f>
        <v>0.24970000000000001</v>
      </c>
      <c r="AC533" s="277" t="s">
        <v>157</v>
      </c>
      <c r="AD533" s="278" t="s">
        <v>153</v>
      </c>
      <c r="AE533" s="40">
        <f>ROUND((((X533*E528)/1800)),4)</f>
        <v>0.12039999999999999</v>
      </c>
      <c r="AF533" s="40">
        <f>ROUND(((Z533+AA533+AB533)),4)</f>
        <v>0.90810000000000002</v>
      </c>
      <c r="AG533" s="254"/>
      <c r="AH533" s="254"/>
    </row>
    <row r="534" spans="1:34" s="61" customFormat="1" ht="15" customHeight="1" x14ac:dyDescent="0.25">
      <c r="A534" s="289"/>
      <c r="B534" s="274" t="s">
        <v>606</v>
      </c>
      <c r="C534" s="274">
        <v>7</v>
      </c>
      <c r="D534" s="38" t="s">
        <v>560</v>
      </c>
      <c r="E534" s="38">
        <v>1</v>
      </c>
      <c r="F534" s="38">
        <v>2</v>
      </c>
      <c r="G534" s="38">
        <v>6</v>
      </c>
      <c r="H534" s="38">
        <v>60</v>
      </c>
      <c r="I534" s="38">
        <f>(8-1-0.75*2)*60*F534-K534-8*0.12*60</f>
        <v>173.4</v>
      </c>
      <c r="J534" s="38">
        <v>14</v>
      </c>
      <c r="K534" s="38">
        <f>(8-1-0.75*2)*0.65*60*F534</f>
        <v>429</v>
      </c>
      <c r="L534" s="38">
        <v>10.16</v>
      </c>
      <c r="M534" s="38">
        <v>10.16</v>
      </c>
      <c r="N534" s="38">
        <v>10</v>
      </c>
      <c r="O534" s="38">
        <f>E534/F534</f>
        <v>0.5</v>
      </c>
      <c r="P534" s="38">
        <v>180</v>
      </c>
      <c r="Q534" s="38">
        <v>90</v>
      </c>
      <c r="R534" s="275">
        <v>90</v>
      </c>
      <c r="S534" s="275">
        <v>1.99</v>
      </c>
      <c r="T534" s="38">
        <f>ROUND((L534*I534+1.3*L534*K534+S534*H534),4)</f>
        <v>7547.3760000000002</v>
      </c>
      <c r="U534" s="38">
        <f>ROUND((M534*I534+1.3*M534*K534+S534*H534),4)</f>
        <v>7547.3760000000002</v>
      </c>
      <c r="V534" s="38">
        <f>ROUND((M534*I534+1.3*M534*K534+S534*H534),4)</f>
        <v>7547.3760000000002</v>
      </c>
      <c r="W534" s="38">
        <f>ROUND((L534*J534+1.3*L534*N534+S534*G534),4)</f>
        <v>286.26</v>
      </c>
      <c r="X534" s="38">
        <f>ROUND((M534*J534+1.3*M534*N534+S534*G534),4)</f>
        <v>286.26</v>
      </c>
      <c r="Y534" s="38">
        <f>ROUND((M534*J534+1.3*M534*N534+S534*G534),4)</f>
        <v>286.26</v>
      </c>
      <c r="Z534" s="276">
        <f>ROUND((P534*T534*F534*O534/1000000),4)</f>
        <v>1.3585</v>
      </c>
      <c r="AA534" s="276">
        <f>ROUND((Q534*U534*F534*O534/1000000),4)</f>
        <v>0.67930000000000001</v>
      </c>
      <c r="AB534" s="276">
        <f>ROUND((R534*V534*F534*O534/1000000),4)</f>
        <v>0.67930000000000001</v>
      </c>
      <c r="AC534" s="277" t="s">
        <v>165</v>
      </c>
      <c r="AD534" s="278" t="s">
        <v>144</v>
      </c>
      <c r="AE534" s="40">
        <f>ROUND((((X534*E534)/1800)*0.8),4)</f>
        <v>0.12720000000000001</v>
      </c>
      <c r="AF534" s="40">
        <f>ROUND(((Z534+AA534+AB534)*0.8),4)</f>
        <v>2.1737000000000002</v>
      </c>
      <c r="AG534" s="288"/>
      <c r="AH534" s="254"/>
    </row>
    <row r="535" spans="1:34" s="61" customFormat="1" ht="15" customHeight="1" x14ac:dyDescent="0.25">
      <c r="A535" s="289"/>
      <c r="B535" s="1634" t="s">
        <v>607</v>
      </c>
      <c r="C535" s="39"/>
      <c r="D535" s="39"/>
      <c r="E535" s="39"/>
      <c r="F535" s="39"/>
      <c r="G535" s="39"/>
      <c r="H535" s="39"/>
      <c r="I535" s="39"/>
      <c r="J535" s="39"/>
      <c r="K535" s="39"/>
      <c r="L535" s="119"/>
      <c r="M535" s="119"/>
      <c r="N535" s="39"/>
      <c r="O535" s="39"/>
      <c r="P535" s="39"/>
      <c r="Q535" s="39"/>
      <c r="R535" s="39"/>
      <c r="S535" s="281"/>
      <c r="T535" s="39"/>
      <c r="U535" s="39"/>
      <c r="V535" s="39"/>
      <c r="W535" s="39"/>
      <c r="X535" s="39"/>
      <c r="Y535" s="39"/>
      <c r="Z535" s="39"/>
      <c r="AA535" s="39"/>
      <c r="AB535" s="39"/>
      <c r="AC535" s="277" t="s">
        <v>166</v>
      </c>
      <c r="AD535" s="278" t="s">
        <v>167</v>
      </c>
      <c r="AE535" s="40">
        <f>ROUND((((X534*E534)/1800)*0.13),4)</f>
        <v>2.07E-2</v>
      </c>
      <c r="AF535" s="40">
        <f>ROUND(((Z534+AA534+AB534)*0.13),4)</f>
        <v>0.35320000000000001</v>
      </c>
      <c r="AG535" s="288"/>
      <c r="AH535" s="254"/>
    </row>
    <row r="536" spans="1:34" s="61" customFormat="1" ht="15" customHeight="1" x14ac:dyDescent="0.25">
      <c r="A536" s="289"/>
      <c r="B536" s="1634"/>
      <c r="C536" s="283"/>
      <c r="D536" s="283"/>
      <c r="E536" s="39"/>
      <c r="F536" s="39"/>
      <c r="G536" s="39"/>
      <c r="H536" s="39"/>
      <c r="I536" s="39"/>
      <c r="J536" s="39"/>
      <c r="K536" s="39"/>
      <c r="L536" s="40">
        <v>0.8</v>
      </c>
      <c r="M536" s="40">
        <v>0.98</v>
      </c>
      <c r="N536" s="39"/>
      <c r="O536" s="39"/>
      <c r="P536" s="39"/>
      <c r="Q536" s="39"/>
      <c r="R536" s="39"/>
      <c r="S536" s="284">
        <v>0.39</v>
      </c>
      <c r="T536" s="38">
        <f>ROUND((L536*I534+1.3*L536*K534+S536*H534),4)</f>
        <v>608.28</v>
      </c>
      <c r="U536" s="38">
        <f>ROUND((M536*0.9*I534+1.3*M536*0.9*K534+S536*H534),4)</f>
        <v>668.23019999999997</v>
      </c>
      <c r="V536" s="38">
        <f>ROUND((M536*I534+1.3*M536*K534+S536*H534),4)</f>
        <v>739.87800000000004</v>
      </c>
      <c r="W536" s="38">
        <f>ROUND((L536*J534+1.3*L536*N534+S536*G534),4)</f>
        <v>23.94</v>
      </c>
      <c r="X536" s="38">
        <f>ROUND((M536*0.9*J534+1.3*M536*0.9*N534+S536*G534),4)</f>
        <v>26.154</v>
      </c>
      <c r="Y536" s="38">
        <f>ROUND((M536*J534+1.3*M536*N534+S536*G534),4)</f>
        <v>28.8</v>
      </c>
      <c r="Z536" s="276">
        <f>ROUND((P534*T536*F534*O534/1000000),4)</f>
        <v>0.1095</v>
      </c>
      <c r="AA536" s="276">
        <f>ROUND((Q534*U536*F534*O534/1000000),4)</f>
        <v>6.0100000000000001E-2</v>
      </c>
      <c r="AB536" s="276">
        <f>ROUND((R534*V536*F534*O534/1000000),4)</f>
        <v>6.6600000000000006E-2</v>
      </c>
      <c r="AC536" s="277" t="s">
        <v>547</v>
      </c>
      <c r="AD536" s="278" t="s">
        <v>169</v>
      </c>
      <c r="AE536" s="40">
        <f>ROUND((((X536*E534)/1800)),4)</f>
        <v>1.4500000000000001E-2</v>
      </c>
      <c r="AF536" s="40">
        <f>ROUND(((Z536+AA536+AB536)),5)</f>
        <v>0.23619999999999999</v>
      </c>
      <c r="AG536" s="288"/>
      <c r="AH536" s="254"/>
    </row>
    <row r="537" spans="1:34" s="61" customFormat="1" ht="15" customHeight="1" x14ac:dyDescent="0.25">
      <c r="A537" s="289"/>
      <c r="B537" s="288"/>
      <c r="C537" s="39"/>
      <c r="D537" s="39"/>
      <c r="E537" s="39"/>
      <c r="F537" s="39"/>
      <c r="G537" s="39"/>
      <c r="H537" s="39"/>
      <c r="I537" s="39"/>
      <c r="J537" s="39"/>
      <c r="K537" s="39"/>
      <c r="L537" s="40">
        <v>1.79</v>
      </c>
      <c r="M537" s="40">
        <v>2.15</v>
      </c>
      <c r="N537" s="39"/>
      <c r="O537" s="39"/>
      <c r="P537" s="39"/>
      <c r="Q537" s="39"/>
      <c r="R537" s="39"/>
      <c r="S537" s="285">
        <v>1.24</v>
      </c>
      <c r="T537" s="38">
        <f>ROUND((L537*I534+1.3*L537*K534+S537*H534),4)</f>
        <v>1383.069</v>
      </c>
      <c r="U537" s="38">
        <f>ROUND((M537*0.9*I534+1.3*M537*0.9*K534+S537*H534),4)</f>
        <v>1489.0785000000001</v>
      </c>
      <c r="V537" s="38">
        <f>ROUND((M537*I534+1.3*M537*K534+S537*H534),4)</f>
        <v>1646.2650000000001</v>
      </c>
      <c r="W537" s="38">
        <f>ROUND((L537*J534+1.3*L537*N534+S537*G534),4)</f>
        <v>55.77</v>
      </c>
      <c r="X537" s="38">
        <f>ROUND((M537*0.9*J534+1.3*M537*0.9*N534+S537*G534),4)</f>
        <v>59.685000000000002</v>
      </c>
      <c r="Y537" s="38">
        <f>ROUND((M537*J534+1.3*N534+S537*G534),4)</f>
        <v>50.54</v>
      </c>
      <c r="Z537" s="276">
        <f>ROUND((P534*T537*F534*O534/1000000),4)</f>
        <v>0.249</v>
      </c>
      <c r="AA537" s="276">
        <f>ROUND((Q534*U537*F534*O534/1000000),4)</f>
        <v>0.13400000000000001</v>
      </c>
      <c r="AB537" s="276">
        <f>ROUND((R534*V537*F534*O534/1000000),4)</f>
        <v>0.1482</v>
      </c>
      <c r="AC537" s="277" t="s">
        <v>548</v>
      </c>
      <c r="AD537" s="278" t="s">
        <v>549</v>
      </c>
      <c r="AE537" s="40">
        <f>ROUND((((X537*E534)/1800)),4)</f>
        <v>3.32E-2</v>
      </c>
      <c r="AF537" s="40">
        <f>ROUND(((Z537+AA537+AB537)),4)</f>
        <v>0.53120000000000001</v>
      </c>
      <c r="AG537" s="288"/>
      <c r="AH537" s="254"/>
    </row>
    <row r="538" spans="1:34" s="61" customFormat="1" ht="15" customHeight="1" x14ac:dyDescent="0.25">
      <c r="A538" s="289"/>
      <c r="B538" s="280"/>
      <c r="C538" s="39"/>
      <c r="D538" s="39"/>
      <c r="E538" s="39"/>
      <c r="F538" s="39"/>
      <c r="G538" s="39"/>
      <c r="H538" s="39"/>
      <c r="I538" s="39"/>
      <c r="J538" s="39"/>
      <c r="K538" s="39"/>
      <c r="L538" s="40">
        <v>1.1299999999999999</v>
      </c>
      <c r="M538" s="40">
        <v>1.7</v>
      </c>
      <c r="N538" s="39"/>
      <c r="O538" s="39"/>
      <c r="P538" s="39"/>
      <c r="Q538" s="39"/>
      <c r="R538" s="39"/>
      <c r="S538" s="285">
        <v>0.26</v>
      </c>
      <c r="T538" s="38">
        <f>ROUND((L538*I534+1.3*L538*K534+S538*H534),4)</f>
        <v>841.74300000000005</v>
      </c>
      <c r="U538" s="38">
        <f>ROUND((M538*0.9*I534+1.3*M538*0.9*K534+S538*H534),4)</f>
        <v>1134.183</v>
      </c>
      <c r="V538" s="38">
        <f>ROUND((M538*I534+1.3*M538*K534+S538*H534),4)</f>
        <v>1258.47</v>
      </c>
      <c r="W538" s="38">
        <f>ROUND((L538*J534+1.3*L538*N534+S538*G534),4)</f>
        <v>32.07</v>
      </c>
      <c r="X538" s="38">
        <f>ROUND((M538*0.9*J534+1.3*M538*0.9*N534+S538*G534),4)</f>
        <v>42.87</v>
      </c>
      <c r="Y538" s="38">
        <f>ROUND((M538*J534+1.3*M538*N534+S538*G534),4)</f>
        <v>47.46</v>
      </c>
      <c r="Z538" s="276">
        <f>ROUND((P534*T538*F534*O534/1000000),4)</f>
        <v>0.1515</v>
      </c>
      <c r="AA538" s="276">
        <f>ROUND((Q534*U538*F534*O534/1000000),4)</f>
        <v>0.1021</v>
      </c>
      <c r="AB538" s="276">
        <f>ROUND((R534*V538*F534*O534/1000000),4)</f>
        <v>0.1133</v>
      </c>
      <c r="AC538" s="277" t="s">
        <v>172</v>
      </c>
      <c r="AD538" s="278" t="s">
        <v>173</v>
      </c>
      <c r="AE538" s="40">
        <f>ROUND((((X538*E534)/1800)),4)</f>
        <v>2.3800000000000002E-2</v>
      </c>
      <c r="AF538" s="40">
        <f>ROUND(((Z538+AA538+AB538)),4)</f>
        <v>0.3669</v>
      </c>
      <c r="AG538" s="288"/>
      <c r="AH538" s="254"/>
    </row>
    <row r="539" spans="1:34" s="61" customFormat="1" ht="15" customHeight="1" x14ac:dyDescent="0.25">
      <c r="A539" s="289"/>
      <c r="B539" s="286"/>
      <c r="C539" s="119"/>
      <c r="D539" s="119"/>
      <c r="E539" s="119"/>
      <c r="F539" s="119"/>
      <c r="G539" s="119"/>
      <c r="H539" s="119"/>
      <c r="I539" s="119"/>
      <c r="J539" s="119"/>
      <c r="K539" s="119"/>
      <c r="L539" s="40">
        <v>5.3</v>
      </c>
      <c r="M539" s="40">
        <v>6.47</v>
      </c>
      <c r="N539" s="119"/>
      <c r="O539" s="119"/>
      <c r="P539" s="119"/>
      <c r="Q539" s="119"/>
      <c r="R539" s="119"/>
      <c r="S539" s="285">
        <v>9.92</v>
      </c>
      <c r="T539" s="38">
        <f>ROUND((L539*I534+1.3*L539*K534+S539*H534),4)</f>
        <v>4470.03</v>
      </c>
      <c r="U539" s="38">
        <f>ROUND((M539*0.9*I534+1.3*M539*0.9*K534+S539*H534),4)</f>
        <v>4852.3953000000001</v>
      </c>
      <c r="V539" s="38">
        <f>ROUND((M539*I534+1.3*M539*K534+S539*H534),4)</f>
        <v>5325.4170000000004</v>
      </c>
      <c r="W539" s="38">
        <f>ROUND((L539*J534+1.3*L539*N534+S539*G534),4)</f>
        <v>202.62</v>
      </c>
      <c r="X539" s="38">
        <f>ROUND((M539*0.9*J534+1.3*M539*0.9*N534+S539*G534),4)</f>
        <v>216.74100000000001</v>
      </c>
      <c r="Y539" s="38">
        <f>ROUND((M539*J534+1.3*M539*N534+S539*G534),4)</f>
        <v>234.21</v>
      </c>
      <c r="Z539" s="276">
        <f>ROUND((P534*T539*F534*O534/1000000),4)</f>
        <v>0.80459999999999998</v>
      </c>
      <c r="AA539" s="276">
        <f>ROUND((Q534*U539*F534*O534/1000000),4)</f>
        <v>0.43669999999999998</v>
      </c>
      <c r="AB539" s="276">
        <f>ROUND((R534*V539*F534*O534/1000000),4)</f>
        <v>0.4793</v>
      </c>
      <c r="AC539" s="277" t="s">
        <v>157</v>
      </c>
      <c r="AD539" s="278" t="s">
        <v>153</v>
      </c>
      <c r="AE539" s="40">
        <f>ROUND((((X539*E534)/1800)),4)</f>
        <v>0.12039999999999999</v>
      </c>
      <c r="AF539" s="40">
        <f>ROUND(((Z539+AA539+AB539)),4)</f>
        <v>1.7205999999999999</v>
      </c>
      <c r="AG539" s="288"/>
      <c r="AH539" s="254"/>
    </row>
    <row r="540" spans="1:34" s="61" customFormat="1" ht="15" customHeight="1" x14ac:dyDescent="0.25">
      <c r="A540" s="289"/>
      <c r="B540" s="274" t="s">
        <v>592</v>
      </c>
      <c r="C540" s="274">
        <v>6</v>
      </c>
      <c r="D540" s="38" t="s">
        <v>556</v>
      </c>
      <c r="E540" s="38">
        <v>1</v>
      </c>
      <c r="F540" s="38">
        <v>4</v>
      </c>
      <c r="G540" s="38">
        <v>6</v>
      </c>
      <c r="H540" s="38">
        <v>60</v>
      </c>
      <c r="I540" s="38">
        <f>(8-1-0.75*2)*60*F540-K540-8*0.12*60</f>
        <v>404.4</v>
      </c>
      <c r="J540" s="38">
        <v>14</v>
      </c>
      <c r="K540" s="38">
        <f>(8-1-0.75*2)*0.65*60*F540</f>
        <v>858</v>
      </c>
      <c r="L540" s="38">
        <v>6.47</v>
      </c>
      <c r="M540" s="38">
        <v>6.47</v>
      </c>
      <c r="N540" s="38">
        <v>10</v>
      </c>
      <c r="O540" s="38">
        <f>E540/F540</f>
        <v>0.25</v>
      </c>
      <c r="P540" s="38">
        <v>180</v>
      </c>
      <c r="Q540" s="38">
        <v>90</v>
      </c>
      <c r="R540" s="275">
        <v>90</v>
      </c>
      <c r="S540" s="275">
        <v>1.27</v>
      </c>
      <c r="T540" s="38">
        <f>ROUND((L540*I540+1.3*L540*K540+S540*H540),4)</f>
        <v>9909.3060000000005</v>
      </c>
      <c r="U540" s="38">
        <f>ROUND((M540*I540+1.3*M540*K540+S540*H540),4)</f>
        <v>9909.3060000000005</v>
      </c>
      <c r="V540" s="38">
        <f>ROUND((M540*I540+1.3*M540*K540+S540*H540),4)</f>
        <v>9909.3060000000005</v>
      </c>
      <c r="W540" s="38">
        <f>ROUND((L540*J540+1.3*L540*N540+S540*G540),4)</f>
        <v>182.31</v>
      </c>
      <c r="X540" s="38">
        <f>ROUND((M540*J540+1.3*M540*N540+S540*G540),4)</f>
        <v>182.31</v>
      </c>
      <c r="Y540" s="38">
        <f>ROUND((M540*J540+1.3*M540*N540+S540*G540),4)</f>
        <v>182.31</v>
      </c>
      <c r="Z540" s="276">
        <f>ROUND((P540*T540*F540*O540/1000000),4)</f>
        <v>1.7837000000000001</v>
      </c>
      <c r="AA540" s="276">
        <f>ROUND((Q540*U540*F540*O540/1000000),4)</f>
        <v>0.89180000000000004</v>
      </c>
      <c r="AB540" s="276">
        <f>ROUND((R540*V540*F540*O540/1000000),4)</f>
        <v>0.89180000000000004</v>
      </c>
      <c r="AC540" s="277" t="s">
        <v>165</v>
      </c>
      <c r="AD540" s="278" t="s">
        <v>144</v>
      </c>
      <c r="AE540" s="40">
        <f>ROUND((((X540*E540)/1800)*0.8),4)</f>
        <v>8.1000000000000003E-2</v>
      </c>
      <c r="AF540" s="40">
        <f>ROUND(((Z540+AA540+AB540)*0.8),4)</f>
        <v>2.8538000000000001</v>
      </c>
      <c r="AG540" s="254"/>
      <c r="AH540" s="254"/>
    </row>
    <row r="541" spans="1:34" s="61" customFormat="1" ht="15" customHeight="1" x14ac:dyDescent="0.25">
      <c r="A541" s="289"/>
      <c r="B541" s="1634" t="s">
        <v>593</v>
      </c>
      <c r="C541" s="39"/>
      <c r="D541" s="39"/>
      <c r="E541" s="39"/>
      <c r="F541" s="39"/>
      <c r="G541" s="39"/>
      <c r="H541" s="39"/>
      <c r="I541" s="39"/>
      <c r="J541" s="39"/>
      <c r="K541" s="39"/>
      <c r="L541" s="119"/>
      <c r="M541" s="119"/>
      <c r="N541" s="39"/>
      <c r="O541" s="39"/>
      <c r="P541" s="39"/>
      <c r="Q541" s="39"/>
      <c r="R541" s="39"/>
      <c r="S541" s="281"/>
      <c r="T541" s="39"/>
      <c r="U541" s="39"/>
      <c r="V541" s="39"/>
      <c r="W541" s="39"/>
      <c r="X541" s="39"/>
      <c r="Y541" s="39"/>
      <c r="Z541" s="39"/>
      <c r="AA541" s="39"/>
      <c r="AB541" s="39"/>
      <c r="AC541" s="277" t="s">
        <v>166</v>
      </c>
      <c r="AD541" s="278" t="s">
        <v>167</v>
      </c>
      <c r="AE541" s="40">
        <f>ROUND((((X540*E540)/1800)*0.13),4)</f>
        <v>1.32E-2</v>
      </c>
      <c r="AF541" s="40">
        <f>ROUND(((Z540+AA540+AB540)*0.13),4)</f>
        <v>0.4637</v>
      </c>
      <c r="AG541" s="254"/>
      <c r="AH541" s="254"/>
    </row>
    <row r="542" spans="1:34" s="61" customFormat="1" ht="15" customHeight="1" x14ac:dyDescent="0.25">
      <c r="A542" s="289"/>
      <c r="B542" s="1634"/>
      <c r="C542" s="283"/>
      <c r="D542" s="283"/>
      <c r="E542" s="39"/>
      <c r="F542" s="39"/>
      <c r="G542" s="39"/>
      <c r="H542" s="39"/>
      <c r="I542" s="39"/>
      <c r="J542" s="39"/>
      <c r="K542" s="39"/>
      <c r="L542" s="40">
        <v>0.51</v>
      </c>
      <c r="M542" s="40">
        <v>0.63</v>
      </c>
      <c r="N542" s="39"/>
      <c r="O542" s="39"/>
      <c r="P542" s="39"/>
      <c r="Q542" s="39"/>
      <c r="R542" s="39"/>
      <c r="S542" s="284">
        <v>0.25</v>
      </c>
      <c r="T542" s="38">
        <f>ROUND((L542*I540+1.3*L542*K540+S542*H540),4)</f>
        <v>790.09799999999996</v>
      </c>
      <c r="U542" s="38">
        <f>ROUND((M542*0.9*I540+1.3*M542*0.9*K540+S542*H540),4)</f>
        <v>876.72659999999996</v>
      </c>
      <c r="V542" s="38">
        <f>ROUND((M542*I540+1.3*M542*K540+S542*H540),4)</f>
        <v>972.47400000000005</v>
      </c>
      <c r="W542" s="38">
        <f>ROUND((L542*J540+1.3*L542*N540+S542*G540),4)</f>
        <v>15.27</v>
      </c>
      <c r="X542" s="38">
        <f>ROUND((M542*0.9*J540+1.3*M542*0.9*N540+S542*G540),4)</f>
        <v>16.809000000000001</v>
      </c>
      <c r="Y542" s="38">
        <f>ROUND((M542*J540+1.3*M542*N540+S542*G540),4)</f>
        <v>18.510000000000002</v>
      </c>
      <c r="Z542" s="276">
        <f>ROUND((P540*T542*F540*O540/1000000),4)</f>
        <v>0.14219999999999999</v>
      </c>
      <c r="AA542" s="276">
        <f>ROUND((Q540*U542*F540*O540/1000000),4)</f>
        <v>7.8899999999999998E-2</v>
      </c>
      <c r="AB542" s="276">
        <f>ROUND((R540*V542*F540*O540/1000000),4)</f>
        <v>8.7499999999999994E-2</v>
      </c>
      <c r="AC542" s="277" t="s">
        <v>547</v>
      </c>
      <c r="AD542" s="278" t="s">
        <v>169</v>
      </c>
      <c r="AE542" s="40">
        <f>ROUND((((X542*E540)/1800)),4)</f>
        <v>9.2999999999999992E-3</v>
      </c>
      <c r="AF542" s="40">
        <f>ROUND(((Z542+AA542+AB542)),5)</f>
        <v>0.30859999999999999</v>
      </c>
      <c r="AG542" s="254"/>
      <c r="AH542" s="254"/>
    </row>
    <row r="543" spans="1:34" s="61" customFormat="1" ht="15" customHeight="1" x14ac:dyDescent="0.25">
      <c r="A543" s="289"/>
      <c r="B543" s="280"/>
      <c r="C543" s="39"/>
      <c r="D543" s="39"/>
      <c r="E543" s="39"/>
      <c r="F543" s="39"/>
      <c r="G543" s="39"/>
      <c r="H543" s="39"/>
      <c r="I543" s="39"/>
      <c r="J543" s="39"/>
      <c r="K543" s="39"/>
      <c r="L543" s="40">
        <v>1.1399999999999999</v>
      </c>
      <c r="M543" s="40">
        <v>1.37</v>
      </c>
      <c r="N543" s="39"/>
      <c r="O543" s="39"/>
      <c r="P543" s="39"/>
      <c r="Q543" s="39"/>
      <c r="R543" s="39"/>
      <c r="S543" s="285">
        <v>0.79</v>
      </c>
      <c r="T543" s="38">
        <f>ROUND((L543*I540+1.3*L543*K540+S543*H540),4)</f>
        <v>1779.972</v>
      </c>
      <c r="U543" s="38">
        <f>ROUND((M543*0.9*I540+1.3*M543*0.9*K540+S543*H540),4)</f>
        <v>1921.3134</v>
      </c>
      <c r="V543" s="38">
        <f>ROUND((M543*I540+1.3*M543*K540+S543*H540),4)</f>
        <v>2129.5259999999998</v>
      </c>
      <c r="W543" s="38">
        <f>ROUND((L543*J540+1.3*L543*N540+S543*G540),4)</f>
        <v>35.520000000000003</v>
      </c>
      <c r="X543" s="38">
        <f>ROUND((M543*0.9*J540+1.3*M543*0.9*N540+S543*G540),4)</f>
        <v>38.030999999999999</v>
      </c>
      <c r="Y543" s="38">
        <f>ROUND((M543*J540+1.3*N540+S543*G540),4)</f>
        <v>36.92</v>
      </c>
      <c r="Z543" s="276">
        <f>ROUND((P540*T543*F540*O540/1000000),4)</f>
        <v>0.32040000000000002</v>
      </c>
      <c r="AA543" s="276">
        <f>ROUND((Q540*U543*F540*O540/1000000),4)</f>
        <v>0.1729</v>
      </c>
      <c r="AB543" s="276">
        <f>ROUND((R540*V543*F540*O540/1000000),4)</f>
        <v>0.19170000000000001</v>
      </c>
      <c r="AC543" s="277" t="s">
        <v>548</v>
      </c>
      <c r="AD543" s="278" t="s">
        <v>549</v>
      </c>
      <c r="AE543" s="40">
        <f>ROUND((((X543*E540)/1800)),4)</f>
        <v>2.1100000000000001E-2</v>
      </c>
      <c r="AF543" s="40">
        <f>ROUND(((Z543+AA543+AB543)),4)</f>
        <v>0.68500000000000005</v>
      </c>
      <c r="AG543" s="254"/>
      <c r="AH543" s="254"/>
    </row>
    <row r="544" spans="1:34" s="61" customFormat="1" ht="15" customHeight="1" x14ac:dyDescent="0.25">
      <c r="A544" s="289"/>
      <c r="B544" s="280"/>
      <c r="C544" s="39"/>
      <c r="D544" s="39"/>
      <c r="E544" s="39"/>
      <c r="F544" s="39"/>
      <c r="G544" s="39"/>
      <c r="H544" s="39"/>
      <c r="I544" s="39"/>
      <c r="J544" s="39"/>
      <c r="K544" s="39"/>
      <c r="L544" s="40">
        <v>0.72</v>
      </c>
      <c r="M544" s="40">
        <v>1.08</v>
      </c>
      <c r="N544" s="39"/>
      <c r="O544" s="39"/>
      <c r="P544" s="39"/>
      <c r="Q544" s="39"/>
      <c r="R544" s="39"/>
      <c r="S544" s="285">
        <v>0.17</v>
      </c>
      <c r="T544" s="38">
        <f>ROUND((L544*I540+1.3*L544*K540+S544*H540),4)</f>
        <v>1104.4559999999999</v>
      </c>
      <c r="U544" s="38">
        <f>ROUND((M544*0.9*I540+1.3*M544*0.9*K540+S544*H540),4)</f>
        <v>1487.4456</v>
      </c>
      <c r="V544" s="38">
        <f>ROUND((M544*I540+1.3*M544*K540+S544*H540),4)</f>
        <v>1651.5840000000001</v>
      </c>
      <c r="W544" s="38">
        <f>ROUND((L544*J540+1.3*L544*N540+S544*G540),4)</f>
        <v>20.46</v>
      </c>
      <c r="X544" s="38">
        <f>ROUND((M544*0.9*J540+1.3*M544*0.9*N540+S544*G540),4)</f>
        <v>27.263999999999999</v>
      </c>
      <c r="Y544" s="38">
        <f>ROUND((M544*J540+1.3*M544*N540+S544*G540),4)</f>
        <v>30.18</v>
      </c>
      <c r="Z544" s="276">
        <f>ROUND((P540*T544*F540*O540/1000000),4)</f>
        <v>0.1988</v>
      </c>
      <c r="AA544" s="276">
        <f>ROUND((Q540*U544*F540*O540/1000000),4)</f>
        <v>0.13389999999999999</v>
      </c>
      <c r="AB544" s="276">
        <f>ROUND((R540*V544*F540*O540/1000000),4)</f>
        <v>0.14860000000000001</v>
      </c>
      <c r="AC544" s="277" t="s">
        <v>172</v>
      </c>
      <c r="AD544" s="278" t="s">
        <v>173</v>
      </c>
      <c r="AE544" s="40">
        <f>ROUND((((X544*E540)/1800)),4)</f>
        <v>1.5100000000000001E-2</v>
      </c>
      <c r="AF544" s="40">
        <f>ROUND(((Z544+AA544+AB544)),4)</f>
        <v>0.48130000000000001</v>
      </c>
      <c r="AG544" s="254"/>
      <c r="AH544" s="254"/>
    </row>
    <row r="545" spans="1:34" s="61" customFormat="1" ht="15" customHeight="1" x14ac:dyDescent="0.25">
      <c r="A545" s="289"/>
      <c r="B545" s="286"/>
      <c r="C545" s="119"/>
      <c r="D545" s="119"/>
      <c r="E545" s="119"/>
      <c r="F545" s="119"/>
      <c r="G545" s="119"/>
      <c r="H545" s="119"/>
      <c r="I545" s="119"/>
      <c r="J545" s="119"/>
      <c r="K545" s="119"/>
      <c r="L545" s="40">
        <v>3.37</v>
      </c>
      <c r="M545" s="40">
        <v>4.1100000000000003</v>
      </c>
      <c r="N545" s="119"/>
      <c r="O545" s="119"/>
      <c r="P545" s="119"/>
      <c r="Q545" s="119"/>
      <c r="R545" s="119"/>
      <c r="S545" s="285">
        <v>6.31</v>
      </c>
      <c r="T545" s="38">
        <f>ROUND((L545*I540+1.3*L545*K540+S545*H540),4)</f>
        <v>5500.326</v>
      </c>
      <c r="U545" s="38">
        <f>ROUND((M545*0.9*I540+1.3*M545*0.9*K540+S545*H540),4)</f>
        <v>6000.3401999999996</v>
      </c>
      <c r="V545" s="38">
        <f>ROUND((M545*I540+1.3*M545*K540+S545*H540),4)</f>
        <v>6624.9780000000001</v>
      </c>
      <c r="W545" s="38">
        <f>ROUND((L545*J540+1.3*L545*N540+S545*G540),4)</f>
        <v>128.85</v>
      </c>
      <c r="X545" s="38">
        <f>ROUND((M545*0.9*J540+1.3*M545*0.9*N540+S545*G540),4)</f>
        <v>137.733</v>
      </c>
      <c r="Y545" s="38">
        <f>ROUND((M545*J540+1.3*M545*N540+S545*G540),4)</f>
        <v>148.83000000000001</v>
      </c>
      <c r="Z545" s="276">
        <f>ROUND((P540*T545*F540*O540/1000000),4)</f>
        <v>0.99009999999999998</v>
      </c>
      <c r="AA545" s="276">
        <f>ROUND((Q540*U545*F540*O540/1000000),4)</f>
        <v>0.54</v>
      </c>
      <c r="AB545" s="276">
        <f>ROUND((R540*V545*F540*O540/1000000),4)</f>
        <v>0.59619999999999995</v>
      </c>
      <c r="AC545" s="277" t="s">
        <v>157</v>
      </c>
      <c r="AD545" s="278" t="s">
        <v>153</v>
      </c>
      <c r="AE545" s="40">
        <f>ROUND((((X545*E540)/1800)),4)</f>
        <v>7.6499999999999999E-2</v>
      </c>
      <c r="AF545" s="40">
        <f>ROUND(((Z545+AA545+AB545)),4)</f>
        <v>2.1263000000000001</v>
      </c>
      <c r="AG545" s="254"/>
      <c r="AH545" s="254"/>
    </row>
    <row r="546" spans="1:34" s="61" customFormat="1" ht="15" customHeight="1" x14ac:dyDescent="0.25">
      <c r="A546" s="289"/>
      <c r="B546" s="274" t="s">
        <v>592</v>
      </c>
      <c r="C546" s="274">
        <v>5</v>
      </c>
      <c r="D546" s="38" t="s">
        <v>552</v>
      </c>
      <c r="E546" s="38">
        <v>1</v>
      </c>
      <c r="F546" s="38">
        <v>4</v>
      </c>
      <c r="G546" s="38">
        <v>6</v>
      </c>
      <c r="H546" s="38">
        <v>60</v>
      </c>
      <c r="I546" s="38">
        <f>(8-1-0.75*2)*60*F546-K546-8*0.12*60</f>
        <v>404.4</v>
      </c>
      <c r="J546" s="38">
        <v>14</v>
      </c>
      <c r="K546" s="38">
        <f>(8-1-0.75*2)*0.65*60*F546</f>
        <v>858</v>
      </c>
      <c r="L546" s="38">
        <v>4.01</v>
      </c>
      <c r="M546" s="38">
        <v>4.01</v>
      </c>
      <c r="N546" s="38">
        <v>10</v>
      </c>
      <c r="O546" s="38">
        <f>E546/F546</f>
        <v>0.25</v>
      </c>
      <c r="P546" s="38">
        <v>180</v>
      </c>
      <c r="Q546" s="38">
        <v>90</v>
      </c>
      <c r="R546" s="275">
        <v>90</v>
      </c>
      <c r="S546" s="275">
        <v>0.78</v>
      </c>
      <c r="T546" s="38">
        <f>ROUND((L546*I546+1.3*L546*K546+S546*H546),4)</f>
        <v>6141.1980000000003</v>
      </c>
      <c r="U546" s="38">
        <f>ROUND((M546*I546+1.3*M546*K546+S546*H546),4)</f>
        <v>6141.1980000000003</v>
      </c>
      <c r="V546" s="38">
        <f>ROUND((M546*I546+1.3*M546*K546+S546*H546),4)</f>
        <v>6141.1980000000003</v>
      </c>
      <c r="W546" s="38">
        <f>ROUND((L546*J546+1.3*L546*N546+S546*G546),4)</f>
        <v>112.95</v>
      </c>
      <c r="X546" s="38">
        <f>ROUND((M546*J546+1.3*M546*N546+S546*G546),4)</f>
        <v>112.95</v>
      </c>
      <c r="Y546" s="38">
        <f>ROUND((M546*J546+1.3*M546*N546+S546*G546),4)</f>
        <v>112.95</v>
      </c>
      <c r="Z546" s="276">
        <f>ROUND((P546*T546*F546*O546/1000000),4)</f>
        <v>1.1053999999999999</v>
      </c>
      <c r="AA546" s="276">
        <f>ROUND((Q546*U546*F546*O546/1000000),4)</f>
        <v>0.55269999999999997</v>
      </c>
      <c r="AB546" s="276">
        <f>ROUND((R546*V546*F546*O546/1000000),4)</f>
        <v>0.55269999999999997</v>
      </c>
      <c r="AC546" s="277" t="s">
        <v>165</v>
      </c>
      <c r="AD546" s="278" t="s">
        <v>144</v>
      </c>
      <c r="AE546" s="40">
        <f>ROUND((((X546*E546)/1800)*0.8),4)</f>
        <v>5.0200000000000002E-2</v>
      </c>
      <c r="AF546" s="40">
        <f>ROUND(((Z546+AA546+AB546)*0.8),4)</f>
        <v>1.7685999999999999</v>
      </c>
      <c r="AG546" s="254"/>
      <c r="AH546" s="254"/>
    </row>
    <row r="547" spans="1:34" s="61" customFormat="1" ht="15" customHeight="1" x14ac:dyDescent="0.25">
      <c r="A547" s="289"/>
      <c r="B547" s="1642" t="s">
        <v>608</v>
      </c>
      <c r="C547" s="280"/>
      <c r="D547" s="39"/>
      <c r="E547" s="39"/>
      <c r="F547" s="39"/>
      <c r="G547" s="39"/>
      <c r="H547" s="39"/>
      <c r="I547" s="39"/>
      <c r="J547" s="39"/>
      <c r="K547" s="39"/>
      <c r="L547" s="119"/>
      <c r="M547" s="119"/>
      <c r="N547" s="39"/>
      <c r="O547" s="39"/>
      <c r="P547" s="39"/>
      <c r="Q547" s="39"/>
      <c r="R547" s="39"/>
      <c r="S547" s="281"/>
      <c r="T547" s="39"/>
      <c r="U547" s="39"/>
      <c r="V547" s="39"/>
      <c r="W547" s="39"/>
      <c r="X547" s="39"/>
      <c r="Y547" s="39"/>
      <c r="Z547" s="39"/>
      <c r="AA547" s="39"/>
      <c r="AB547" s="39"/>
      <c r="AC547" s="277" t="s">
        <v>166</v>
      </c>
      <c r="AD547" s="278" t="s">
        <v>167</v>
      </c>
      <c r="AE547" s="40">
        <f>ROUND((((X546*E546)/1800)*0.13),4)</f>
        <v>8.2000000000000007E-3</v>
      </c>
      <c r="AF547" s="40">
        <f>ROUND(((Z546+AA546+AB546)*0.13),4)</f>
        <v>0.28739999999999999</v>
      </c>
      <c r="AG547" s="254"/>
      <c r="AH547" s="254"/>
    </row>
    <row r="548" spans="1:34" s="61" customFormat="1" ht="15" customHeight="1" x14ac:dyDescent="0.25">
      <c r="A548" s="289"/>
      <c r="B548" s="1642"/>
      <c r="C548" s="282"/>
      <c r="D548" s="283"/>
      <c r="E548" s="39"/>
      <c r="F548" s="39"/>
      <c r="G548" s="39"/>
      <c r="H548" s="39"/>
      <c r="I548" s="39"/>
      <c r="J548" s="39"/>
      <c r="K548" s="39"/>
      <c r="L548" s="40">
        <v>0.31</v>
      </c>
      <c r="M548" s="40">
        <v>0.38</v>
      </c>
      <c r="N548" s="39"/>
      <c r="O548" s="39"/>
      <c r="P548" s="39"/>
      <c r="Q548" s="39"/>
      <c r="R548" s="39"/>
      <c r="S548" s="284">
        <v>0.16</v>
      </c>
      <c r="T548" s="38">
        <f>ROUND((L548*I546+1.3*L548*K546+S548*H546),4)</f>
        <v>480.738</v>
      </c>
      <c r="U548" s="38">
        <f>ROUND((M548*0.9*I546+1.3*M548*0.9*K546+S548*H546),4)</f>
        <v>529.37159999999994</v>
      </c>
      <c r="V548" s="38">
        <f>ROUND((M548*I546+1.3*M548*K546+S548*H546),4)</f>
        <v>587.12400000000002</v>
      </c>
      <c r="W548" s="38">
        <f>ROUND((L548*J546+1.3*L548*N546+S548*G546),4)</f>
        <v>9.33</v>
      </c>
      <c r="X548" s="38">
        <f>ROUND((M548*0.9*J546+1.3*M548*0.9*N546+S548*G546),4)</f>
        <v>10.194000000000001</v>
      </c>
      <c r="Y548" s="38">
        <f>ROUND((M548*J546+1.3*M548*N546+S548*G546),4)</f>
        <v>11.22</v>
      </c>
      <c r="Z548" s="276">
        <f>ROUND((P546*T548*F546*O546/1000000),4)</f>
        <v>8.6499999999999994E-2</v>
      </c>
      <c r="AA548" s="276">
        <f>ROUND((Q546*U548*F546*O546/1000000),4)</f>
        <v>4.7600000000000003E-2</v>
      </c>
      <c r="AB548" s="276">
        <f>ROUND((R546*V548*F546*O546/1000000),4)</f>
        <v>5.28E-2</v>
      </c>
      <c r="AC548" s="277" t="s">
        <v>547</v>
      </c>
      <c r="AD548" s="278" t="s">
        <v>169</v>
      </c>
      <c r="AE548" s="40">
        <f>ROUND((((X548*E546)/1800)),4)</f>
        <v>5.7000000000000002E-3</v>
      </c>
      <c r="AF548" s="40">
        <f>ROUND(((Z548+AA548+AB548)),5)</f>
        <v>0.18690000000000001</v>
      </c>
      <c r="AG548" s="254"/>
      <c r="AH548" s="254"/>
    </row>
    <row r="549" spans="1:34" s="61" customFormat="1" ht="15" customHeight="1" x14ac:dyDescent="0.25">
      <c r="A549" s="289"/>
      <c r="B549" s="280"/>
      <c r="C549" s="280"/>
      <c r="D549" s="39"/>
      <c r="E549" s="39"/>
      <c r="F549" s="39"/>
      <c r="G549" s="39"/>
      <c r="H549" s="39"/>
      <c r="I549" s="39"/>
      <c r="J549" s="39"/>
      <c r="K549" s="39"/>
      <c r="L549" s="40">
        <v>0.71</v>
      </c>
      <c r="M549" s="40">
        <v>0.85</v>
      </c>
      <c r="N549" s="39"/>
      <c r="O549" s="39"/>
      <c r="P549" s="39"/>
      <c r="Q549" s="39"/>
      <c r="R549" s="39"/>
      <c r="S549" s="285">
        <v>0.49</v>
      </c>
      <c r="T549" s="38">
        <f>ROUND((L549*I546+1.3*L549*K546+S549*H546),4)</f>
        <v>1108.4580000000001</v>
      </c>
      <c r="U549" s="38">
        <f>ROUND((M549*0.9*I546+1.3*M549*0.9*K546+S549*H546),4)</f>
        <v>1192.047</v>
      </c>
      <c r="V549" s="38">
        <f>ROUND((M549*I546+1.3*M549*K546+S549*H546),4)</f>
        <v>1321.23</v>
      </c>
      <c r="W549" s="38">
        <f>ROUND((L549*J546+1.3*L549*N546+S549*G546),4)</f>
        <v>22.11</v>
      </c>
      <c r="X549" s="38">
        <f>ROUND((M549*0.9*J546+1.3*M549*0.9*N546+S549*G546),4)</f>
        <v>23.594999999999999</v>
      </c>
      <c r="Y549" s="38">
        <f>ROUND((M549*J546+1.3*N546+S549*G546),4)</f>
        <v>27.84</v>
      </c>
      <c r="Z549" s="276">
        <f>ROUND((P546*T549*F546*O546/1000000),4)</f>
        <v>0.19950000000000001</v>
      </c>
      <c r="AA549" s="276">
        <f>ROUND((Q546*U549*F546*O546/1000000),4)</f>
        <v>0.10730000000000001</v>
      </c>
      <c r="AB549" s="276">
        <f>ROUND((R546*V549*F546*O546/1000000),4)</f>
        <v>0.11890000000000001</v>
      </c>
      <c r="AC549" s="277" t="s">
        <v>548</v>
      </c>
      <c r="AD549" s="278" t="s">
        <v>549</v>
      </c>
      <c r="AE549" s="40">
        <f>ROUND((((X549*E546)/1800)),4)</f>
        <v>1.3100000000000001E-2</v>
      </c>
      <c r="AF549" s="40">
        <f>ROUND(((Z549+AA549+AB549)),4)</f>
        <v>0.42570000000000002</v>
      </c>
      <c r="AG549" s="254"/>
      <c r="AH549" s="254"/>
    </row>
    <row r="550" spans="1:34" s="61" customFormat="1" ht="15" customHeight="1" x14ac:dyDescent="0.25">
      <c r="A550" s="289"/>
      <c r="B550" s="280"/>
      <c r="C550" s="280"/>
      <c r="D550" s="39"/>
      <c r="E550" s="39"/>
      <c r="F550" s="39"/>
      <c r="G550" s="39"/>
      <c r="H550" s="39"/>
      <c r="I550" s="39"/>
      <c r="J550" s="39"/>
      <c r="K550" s="39"/>
      <c r="L550" s="40">
        <v>0.45</v>
      </c>
      <c r="M550" s="40">
        <v>0.67</v>
      </c>
      <c r="N550" s="39"/>
      <c r="O550" s="39"/>
      <c r="P550" s="39"/>
      <c r="Q550" s="39"/>
      <c r="R550" s="39"/>
      <c r="S550" s="285">
        <v>0.1</v>
      </c>
      <c r="T550" s="38">
        <f>ROUND((L550*I546+1.3*L550*K546+S550*H546),4)</f>
        <v>689.91</v>
      </c>
      <c r="U550" s="38">
        <f>ROUND((M550*0.9*I546+1.3*M550*0.9*K546+S550*H546),4)</f>
        <v>922.43939999999998</v>
      </c>
      <c r="V550" s="38">
        <f>ROUND((M550*I546+1.3*M550*K546+S550*H546),4)</f>
        <v>1024.2660000000001</v>
      </c>
      <c r="W550" s="38">
        <f>ROUND((L550*J546+1.3*L550*N546+S550*G546),4)</f>
        <v>12.75</v>
      </c>
      <c r="X550" s="38">
        <f>ROUND((M550*0.9*J546+1.3*M550*0.9*N546+S550*G546),4)</f>
        <v>16.881</v>
      </c>
      <c r="Y550" s="38">
        <f>ROUND((M550*J546+1.3*M550*N546+S550*G546),4)</f>
        <v>18.690000000000001</v>
      </c>
      <c r="Z550" s="276">
        <f>ROUND((P546*T550*F546*O546/1000000),4)</f>
        <v>0.1242</v>
      </c>
      <c r="AA550" s="276">
        <f>ROUND((Q546*U550*F546*O546/1000000),4)</f>
        <v>8.3000000000000004E-2</v>
      </c>
      <c r="AB550" s="276">
        <f>ROUND((R546*V550*F546*O546/1000000),4)</f>
        <v>9.2200000000000004E-2</v>
      </c>
      <c r="AC550" s="277" t="s">
        <v>172</v>
      </c>
      <c r="AD550" s="278" t="s">
        <v>173</v>
      </c>
      <c r="AE550" s="40">
        <f>ROUND((((X550*E546)/1800)),4)</f>
        <v>9.4000000000000004E-3</v>
      </c>
      <c r="AF550" s="40">
        <f>ROUND(((Z550+AA550+AB550)),4)</f>
        <v>0.2994</v>
      </c>
      <c r="AG550" s="254"/>
      <c r="AH550" s="254"/>
    </row>
    <row r="551" spans="1:34" s="61" customFormat="1" ht="15" customHeight="1" x14ac:dyDescent="0.25">
      <c r="A551" s="289"/>
      <c r="B551" s="286"/>
      <c r="C551" s="286"/>
      <c r="D551" s="119"/>
      <c r="E551" s="119"/>
      <c r="F551" s="119"/>
      <c r="G551" s="119"/>
      <c r="H551" s="119"/>
      <c r="I551" s="119"/>
      <c r="J551" s="119"/>
      <c r="K551" s="119"/>
      <c r="L551" s="40">
        <v>2.09</v>
      </c>
      <c r="M551" s="40">
        <v>2.5499999999999998</v>
      </c>
      <c r="N551" s="119"/>
      <c r="O551" s="119"/>
      <c r="P551" s="119"/>
      <c r="Q551" s="119"/>
      <c r="R551" s="119"/>
      <c r="S551" s="285">
        <v>3.91</v>
      </c>
      <c r="T551" s="38">
        <f>ROUND((L551*I546+1.3*L551*K546+S551*H546),4)</f>
        <v>3410.982</v>
      </c>
      <c r="U551" s="38">
        <f>ROUND((M551*0.9*I546+1.3*M551*0.9*K546+S551*H546),4)</f>
        <v>3722.5410000000002</v>
      </c>
      <c r="V551" s="38">
        <f>ROUND((M551*I546+1.3*M551*K546+S551*H546),4)</f>
        <v>4110.09</v>
      </c>
      <c r="W551" s="38">
        <f>ROUND((L551*J546+1.3*L551*N546+S551*G546),4)</f>
        <v>79.89</v>
      </c>
      <c r="X551" s="38">
        <f>ROUND((M551*0.9*J546+1.3*M551*0.9*N546+S551*G546),4)</f>
        <v>85.424999999999997</v>
      </c>
      <c r="Y551" s="38">
        <f>ROUND((M551*J546+1.3*M551*N546+S551*G546),4)</f>
        <v>92.31</v>
      </c>
      <c r="Z551" s="276">
        <f>ROUND((P546*T551*F546*O546/1000000),4)</f>
        <v>0.61399999999999999</v>
      </c>
      <c r="AA551" s="276">
        <f>ROUND((Q546*U551*F546*O546/1000000),4)</f>
        <v>0.33500000000000002</v>
      </c>
      <c r="AB551" s="276">
        <f>ROUND((R546*V551*F546*O546/1000000),4)</f>
        <v>0.36990000000000001</v>
      </c>
      <c r="AC551" s="277" t="s">
        <v>157</v>
      </c>
      <c r="AD551" s="278" t="s">
        <v>153</v>
      </c>
      <c r="AE551" s="40">
        <f>ROUND((((X551*E546)/1800)),4)</f>
        <v>4.7500000000000001E-2</v>
      </c>
      <c r="AF551" s="40">
        <f>ROUND(((Z551+AA551+AB551)),4)</f>
        <v>1.3189</v>
      </c>
      <c r="AG551" s="254"/>
      <c r="AH551" s="254"/>
    </row>
    <row r="552" spans="1:34" s="61" customFormat="1" ht="15" customHeight="1" x14ac:dyDescent="0.25">
      <c r="A552" s="289"/>
      <c r="B552" s="274" t="s">
        <v>592</v>
      </c>
      <c r="C552" s="274">
        <v>5</v>
      </c>
      <c r="D552" s="38" t="s">
        <v>552</v>
      </c>
      <c r="E552" s="38">
        <v>1</v>
      </c>
      <c r="F552" s="38">
        <v>11</v>
      </c>
      <c r="G552" s="38">
        <v>6</v>
      </c>
      <c r="H552" s="38">
        <v>60</v>
      </c>
      <c r="I552" s="38">
        <f>(8-1-0.75*2)*60*F552-K552-8*0.12*60</f>
        <v>1212.9000000000001</v>
      </c>
      <c r="J552" s="38">
        <v>14</v>
      </c>
      <c r="K552" s="38">
        <f>(8-1-0.75*2)*0.65*60*F552</f>
        <v>2359.5</v>
      </c>
      <c r="L552" s="38">
        <v>4.01</v>
      </c>
      <c r="M552" s="38">
        <v>4.01</v>
      </c>
      <c r="N552" s="38">
        <v>10</v>
      </c>
      <c r="O552" s="38">
        <f>E552/F552</f>
        <v>9.0909090909090912E-2</v>
      </c>
      <c r="P552" s="38">
        <v>180</v>
      </c>
      <c r="Q552" s="38">
        <v>90</v>
      </c>
      <c r="R552" s="275">
        <v>90</v>
      </c>
      <c r="S552" s="275">
        <v>0.78</v>
      </c>
      <c r="T552" s="38">
        <f>ROUND((L552*I552+1.3*L552*K552+S552*H552),4)</f>
        <v>17210.602500000001</v>
      </c>
      <c r="U552" s="38">
        <f>ROUND((M552*I552+1.3*M552*K552+S552*H552),4)</f>
        <v>17210.602500000001</v>
      </c>
      <c r="V552" s="38">
        <f>ROUND((M552*I552+1.3*M552*K552+S552*H552),4)</f>
        <v>17210.602500000001</v>
      </c>
      <c r="W552" s="38">
        <f>ROUND((L552*J552+1.3*L552*N552+S552*G552),4)</f>
        <v>112.95</v>
      </c>
      <c r="X552" s="38">
        <f>ROUND((M552*J552+1.3*M552*N552+S552*G552),4)</f>
        <v>112.95</v>
      </c>
      <c r="Y552" s="38">
        <f>ROUND((M552*J552+1.3*M552*N552+S552*G552),4)</f>
        <v>112.95</v>
      </c>
      <c r="Z552" s="276">
        <f>ROUND((P552*T552*F552*O552/1000000),4)</f>
        <v>3.0979000000000001</v>
      </c>
      <c r="AA552" s="276">
        <f>ROUND((Q552*U552*F552*O552/1000000),4)</f>
        <v>1.5489999999999999</v>
      </c>
      <c r="AB552" s="276">
        <f>ROUND((R552*V552*F552*O552/1000000),4)</f>
        <v>1.5489999999999999</v>
      </c>
      <c r="AC552" s="277" t="s">
        <v>165</v>
      </c>
      <c r="AD552" s="278" t="s">
        <v>144</v>
      </c>
      <c r="AE552" s="40">
        <f>ROUND((((X552*E552)/1800)*0.8),4)</f>
        <v>5.0200000000000002E-2</v>
      </c>
      <c r="AF552" s="40">
        <f>ROUND(((Z552+AA552+AB552)*0.8),4)</f>
        <v>4.9566999999999997</v>
      </c>
      <c r="AG552" s="254"/>
      <c r="AH552" s="254"/>
    </row>
    <row r="553" spans="1:34" s="61" customFormat="1" ht="15" customHeight="1" x14ac:dyDescent="0.25">
      <c r="A553" s="289"/>
      <c r="B553" s="279" t="s">
        <v>594</v>
      </c>
      <c r="C553" s="280"/>
      <c r="D553" s="39"/>
      <c r="E553" s="39"/>
      <c r="F553" s="39"/>
      <c r="G553" s="39"/>
      <c r="H553" s="39"/>
      <c r="I553" s="39"/>
      <c r="J553" s="39"/>
      <c r="K553" s="39"/>
      <c r="L553" s="119"/>
      <c r="M553" s="119"/>
      <c r="N553" s="39"/>
      <c r="O553" s="39"/>
      <c r="P553" s="39"/>
      <c r="Q553" s="39"/>
      <c r="R553" s="39"/>
      <c r="S553" s="281"/>
      <c r="T553" s="39"/>
      <c r="U553" s="39"/>
      <c r="V553" s="39"/>
      <c r="W553" s="39"/>
      <c r="X553" s="39"/>
      <c r="Y553" s="39"/>
      <c r="Z553" s="39"/>
      <c r="AA553" s="39"/>
      <c r="AB553" s="39"/>
      <c r="AC553" s="277" t="s">
        <v>166</v>
      </c>
      <c r="AD553" s="278" t="s">
        <v>167</v>
      </c>
      <c r="AE553" s="40">
        <f>ROUND((((X552*E552)/1800)*0.13),4)</f>
        <v>8.2000000000000007E-3</v>
      </c>
      <c r="AF553" s="40">
        <f>ROUND(((Z552+AA552+AB552)*0.13),4)</f>
        <v>0.80549999999999999</v>
      </c>
      <c r="AG553" s="254"/>
      <c r="AH553" s="254"/>
    </row>
    <row r="554" spans="1:34" s="61" customFormat="1" ht="15" customHeight="1" x14ac:dyDescent="0.25">
      <c r="A554" s="289"/>
      <c r="B554" s="280"/>
      <c r="C554" s="282"/>
      <c r="D554" s="283"/>
      <c r="E554" s="39"/>
      <c r="F554" s="39"/>
      <c r="G554" s="39"/>
      <c r="H554" s="39"/>
      <c r="I554" s="39"/>
      <c r="J554" s="39"/>
      <c r="K554" s="39"/>
      <c r="L554" s="40">
        <v>0.31</v>
      </c>
      <c r="M554" s="40">
        <v>0.38</v>
      </c>
      <c r="N554" s="39"/>
      <c r="O554" s="39"/>
      <c r="P554" s="39"/>
      <c r="Q554" s="39"/>
      <c r="R554" s="39"/>
      <c r="S554" s="284">
        <v>0.16</v>
      </c>
      <c r="T554" s="38">
        <f>ROUND((L554*I552+1.3*L554*K552+S554*H552),4)</f>
        <v>1336.4775</v>
      </c>
      <c r="U554" s="38">
        <f>ROUND((M554*0.9*I552+1.3*M554*0.9*K552+S554*H552),4)</f>
        <v>1473.4455</v>
      </c>
      <c r="V554" s="38">
        <f>ROUND((M554*I552+1.3*M554*K552+S554*H552),4)</f>
        <v>1636.095</v>
      </c>
      <c r="W554" s="38">
        <f>ROUND((L554*J552+1.3*L554*N552+S554*G552),4)</f>
        <v>9.33</v>
      </c>
      <c r="X554" s="38">
        <f>ROUND((M554*0.9*J552+1.3*M554*0.9*N552+S554*G552),4)</f>
        <v>10.194000000000001</v>
      </c>
      <c r="Y554" s="38">
        <f>ROUND((M554*J552+1.3*M554*N552+S554*G552),4)</f>
        <v>11.22</v>
      </c>
      <c r="Z554" s="276">
        <f>ROUND((P552*T554*F552*O552/1000000),4)</f>
        <v>0.24060000000000001</v>
      </c>
      <c r="AA554" s="276">
        <f>ROUND((Q552*U554*F552*O552/1000000),4)</f>
        <v>0.1326</v>
      </c>
      <c r="AB554" s="276">
        <f>ROUND((R552*V554*F552*O552/1000000),4)</f>
        <v>0.1472</v>
      </c>
      <c r="AC554" s="277" t="s">
        <v>547</v>
      </c>
      <c r="AD554" s="278" t="s">
        <v>169</v>
      </c>
      <c r="AE554" s="40">
        <f>ROUND((((X554*E552)/1800)),4)</f>
        <v>5.7000000000000002E-3</v>
      </c>
      <c r="AF554" s="40">
        <f>ROUND(((Z554+AA554+AB554)),5)</f>
        <v>0.52039999999999997</v>
      </c>
      <c r="AG554" s="254"/>
      <c r="AH554" s="254"/>
    </row>
    <row r="555" spans="1:34" s="61" customFormat="1" ht="15" customHeight="1" x14ac:dyDescent="0.25">
      <c r="A555" s="289"/>
      <c r="B555" s="280"/>
      <c r="C555" s="280"/>
      <c r="D555" s="39"/>
      <c r="E555" s="39"/>
      <c r="F555" s="39"/>
      <c r="G555" s="39"/>
      <c r="H555" s="39"/>
      <c r="I555" s="39"/>
      <c r="J555" s="39"/>
      <c r="K555" s="39"/>
      <c r="L555" s="40">
        <v>0.71</v>
      </c>
      <c r="M555" s="40">
        <v>0.85</v>
      </c>
      <c r="N555" s="39"/>
      <c r="O555" s="39"/>
      <c r="P555" s="39"/>
      <c r="Q555" s="39"/>
      <c r="R555" s="39"/>
      <c r="S555" s="285">
        <v>0.49</v>
      </c>
      <c r="T555" s="38">
        <f>ROUND((L555*I552+1.3*L555*K552+S555*H552),4)</f>
        <v>3068.3775000000001</v>
      </c>
      <c r="U555" s="38">
        <f>ROUND((M555*0.9*I552+1.3*M555*0.9*K552+S555*H552),4)</f>
        <v>3303.7912999999999</v>
      </c>
      <c r="V555" s="38">
        <f>ROUND((M555*I552+1.3*M555*K552+S555*H552),4)</f>
        <v>3667.6125000000002</v>
      </c>
      <c r="W555" s="38">
        <f>ROUND((L555*J552+1.3*L555*N552+S555*G552),4)</f>
        <v>22.11</v>
      </c>
      <c r="X555" s="38">
        <f>ROUND((M555*0.9*J552+1.3*M555*0.9*N552+S555*G552),4)</f>
        <v>23.594999999999999</v>
      </c>
      <c r="Y555" s="38">
        <f>ROUND((M555*J552+1.3*N552+S555*G552),4)</f>
        <v>27.84</v>
      </c>
      <c r="Z555" s="276">
        <f>ROUND((P552*T555*F552*O552/1000000),4)</f>
        <v>0.55230000000000001</v>
      </c>
      <c r="AA555" s="276">
        <f>ROUND((Q552*U555*F552*O552/1000000),4)</f>
        <v>0.29730000000000001</v>
      </c>
      <c r="AB555" s="276">
        <f>ROUND((R552*V555*F552*O552/1000000),4)</f>
        <v>0.3301</v>
      </c>
      <c r="AC555" s="277" t="s">
        <v>548</v>
      </c>
      <c r="AD555" s="278" t="s">
        <v>549</v>
      </c>
      <c r="AE555" s="40">
        <f>ROUND((((X555*E552)/1800)),4)</f>
        <v>1.3100000000000001E-2</v>
      </c>
      <c r="AF555" s="40">
        <f>ROUND(((Z555+AA555+AB555)),4)</f>
        <v>1.1797</v>
      </c>
      <c r="AG555" s="254"/>
      <c r="AH555" s="254"/>
    </row>
    <row r="556" spans="1:34" s="61" customFormat="1" ht="15" customHeight="1" x14ac:dyDescent="0.25">
      <c r="A556" s="289"/>
      <c r="B556" s="280"/>
      <c r="C556" s="280"/>
      <c r="D556" s="39"/>
      <c r="E556" s="39"/>
      <c r="F556" s="39"/>
      <c r="G556" s="39"/>
      <c r="H556" s="39"/>
      <c r="I556" s="39"/>
      <c r="J556" s="39"/>
      <c r="K556" s="39"/>
      <c r="L556" s="40">
        <v>0.45</v>
      </c>
      <c r="M556" s="40">
        <v>0.67</v>
      </c>
      <c r="N556" s="39"/>
      <c r="O556" s="39"/>
      <c r="P556" s="39"/>
      <c r="Q556" s="39"/>
      <c r="R556" s="39"/>
      <c r="S556" s="285">
        <v>0.1</v>
      </c>
      <c r="T556" s="38">
        <f>ROUND((L556*I552+1.3*L556*K552+S556*H552),4)</f>
        <v>1932.1125</v>
      </c>
      <c r="U556" s="38">
        <f>ROUND((M556*0.9*I552+1.3*M556*0.9*K552+S556*H552),4)</f>
        <v>2586.9908</v>
      </c>
      <c r="V556" s="38">
        <f>ROUND((M556*I552+1.3*M556*K552+S556*H552),4)</f>
        <v>2873.7674999999999</v>
      </c>
      <c r="W556" s="38">
        <f>ROUND((L556*J552+1.3*L556*N552+S556*G552),4)</f>
        <v>12.75</v>
      </c>
      <c r="X556" s="38">
        <f>ROUND((M556*0.9*J552+1.3*M556*0.9*N552+S556*G552),4)</f>
        <v>16.881</v>
      </c>
      <c r="Y556" s="38">
        <f>ROUND((M556*J552+1.3*M556*N552+S556*G552),4)</f>
        <v>18.690000000000001</v>
      </c>
      <c r="Z556" s="276">
        <f>ROUND((P552*T556*F552*O552/1000000),4)</f>
        <v>0.3478</v>
      </c>
      <c r="AA556" s="276">
        <f>ROUND((Q552*U556*F552*O552/1000000),4)</f>
        <v>0.23280000000000001</v>
      </c>
      <c r="AB556" s="276">
        <f>ROUND((R552*V556*F552*O552/1000000),4)</f>
        <v>0.2586</v>
      </c>
      <c r="AC556" s="277" t="s">
        <v>172</v>
      </c>
      <c r="AD556" s="278" t="s">
        <v>173</v>
      </c>
      <c r="AE556" s="40">
        <f>ROUND((((X556*E552)/1800)),4)</f>
        <v>9.4000000000000004E-3</v>
      </c>
      <c r="AF556" s="40">
        <f>ROUND(((Z556+AA556+AB556)),4)</f>
        <v>0.83919999999999995</v>
      </c>
      <c r="AG556" s="254"/>
      <c r="AH556" s="254"/>
    </row>
    <row r="557" spans="1:34" s="61" customFormat="1" ht="15" customHeight="1" x14ac:dyDescent="0.25">
      <c r="A557" s="289"/>
      <c r="B557" s="286"/>
      <c r="C557" s="286"/>
      <c r="D557" s="119"/>
      <c r="E557" s="119"/>
      <c r="F557" s="119"/>
      <c r="G557" s="119"/>
      <c r="H557" s="119"/>
      <c r="I557" s="119"/>
      <c r="J557" s="119"/>
      <c r="K557" s="119"/>
      <c r="L557" s="40">
        <v>2.09</v>
      </c>
      <c r="M557" s="40">
        <v>2.5499999999999998</v>
      </c>
      <c r="N557" s="119"/>
      <c r="O557" s="119"/>
      <c r="P557" s="119"/>
      <c r="Q557" s="119"/>
      <c r="R557" s="119"/>
      <c r="S557" s="285">
        <v>3.91</v>
      </c>
      <c r="T557" s="38">
        <f>ROUND((L557*I552+1.3*L557*K552+S557*H552),4)</f>
        <v>9180.3225000000002</v>
      </c>
      <c r="U557" s="38">
        <f>ROUND((M557*0.9*I552+1.3*M557*0.9*K552+S557*H552),4)</f>
        <v>10057.773800000001</v>
      </c>
      <c r="V557" s="38">
        <f>ROUND((M557*I552+1.3*M557*K552+S557*H552),4)</f>
        <v>11149.237499999999</v>
      </c>
      <c r="W557" s="38">
        <f>ROUND((L557*J552+1.3*L557*N552+S557*G552),4)</f>
        <v>79.89</v>
      </c>
      <c r="X557" s="38">
        <f>ROUND((M557*0.9*J552+1.3*M557*0.9*N552+S557*G552),4)</f>
        <v>85.424999999999997</v>
      </c>
      <c r="Y557" s="38">
        <f>ROUND((M557*J552+1.3*M557*N552+S557*G552),4)</f>
        <v>92.31</v>
      </c>
      <c r="Z557" s="276">
        <f>ROUND((P552*T557*F552*O552/1000000),4)</f>
        <v>1.6525000000000001</v>
      </c>
      <c r="AA557" s="276">
        <f>ROUND((Q552*U557*F552*O552/1000000),4)</f>
        <v>0.9052</v>
      </c>
      <c r="AB557" s="276">
        <f>ROUND((R552*V557*F552*O552/1000000),4)</f>
        <v>1.0034000000000001</v>
      </c>
      <c r="AC557" s="277" t="s">
        <v>157</v>
      </c>
      <c r="AD557" s="278" t="s">
        <v>153</v>
      </c>
      <c r="AE557" s="40">
        <f>ROUND((((X557*E552)/1800)),4)</f>
        <v>4.7500000000000001E-2</v>
      </c>
      <c r="AF557" s="40">
        <f>ROUND(((Z557+AA557+AB557)),4)</f>
        <v>3.5611000000000002</v>
      </c>
      <c r="AG557" s="254"/>
      <c r="AH557" s="254"/>
    </row>
    <row r="558" spans="1:34" s="61" customFormat="1" ht="15" customHeight="1" x14ac:dyDescent="0.25">
      <c r="A558" s="289"/>
      <c r="B558" s="274" t="s">
        <v>570</v>
      </c>
      <c r="C558" s="274">
        <v>6</v>
      </c>
      <c r="D558" s="38" t="s">
        <v>556</v>
      </c>
      <c r="E558" s="38">
        <v>1</v>
      </c>
      <c r="F558" s="38">
        <v>15</v>
      </c>
      <c r="G558" s="38">
        <v>6</v>
      </c>
      <c r="H558" s="38">
        <v>60</v>
      </c>
      <c r="I558" s="38">
        <f>(8-1-0.75*2)*60*F558-K558-8*0.12*60</f>
        <v>1674.9</v>
      </c>
      <c r="J558" s="38">
        <v>14</v>
      </c>
      <c r="K558" s="38">
        <f>(8-1-0.75*2)*0.65*60*F558</f>
        <v>3217.5</v>
      </c>
      <c r="L558" s="38">
        <v>6.47</v>
      </c>
      <c r="M558" s="38">
        <v>6.47</v>
      </c>
      <c r="N558" s="38">
        <v>10</v>
      </c>
      <c r="O558" s="38">
        <f>E558/F558</f>
        <v>6.6666666666666666E-2</v>
      </c>
      <c r="P558" s="38">
        <v>180</v>
      </c>
      <c r="Q558" s="38">
        <v>90</v>
      </c>
      <c r="R558" s="275">
        <v>90</v>
      </c>
      <c r="S558" s="275">
        <v>1.27</v>
      </c>
      <c r="T558" s="38">
        <f>ROUND((L558*I558+1.3*L558*K558+S558*H558),4)</f>
        <v>37975.195500000002</v>
      </c>
      <c r="U558" s="38">
        <f>ROUND((M558*I558+1.3*M558*K558+S558*H558),4)</f>
        <v>37975.195500000002</v>
      </c>
      <c r="V558" s="38">
        <f>ROUND((M558*I558+1.3*M558*K558+S558*H558),4)</f>
        <v>37975.195500000002</v>
      </c>
      <c r="W558" s="38">
        <f>ROUND((L558*J558+1.3*L558*N558+S558*G558),4)</f>
        <v>182.31</v>
      </c>
      <c r="X558" s="38">
        <f>ROUND((M558*J558+1.3*M558*N558+S558*G558),4)</f>
        <v>182.31</v>
      </c>
      <c r="Y558" s="38">
        <f>ROUND((M558*J558+1.3*M558*N558+S558*G558),4)</f>
        <v>182.31</v>
      </c>
      <c r="Z558" s="276">
        <f>ROUND((P558*T558*F558*O558/1000000),4)</f>
        <v>6.8354999999999997</v>
      </c>
      <c r="AA558" s="276">
        <f>ROUND((Q558*U558*F558*O558/1000000),4)</f>
        <v>3.4178000000000002</v>
      </c>
      <c r="AB558" s="276">
        <f>ROUND((R558*V558*F558*O558/1000000),4)</f>
        <v>3.4178000000000002</v>
      </c>
      <c r="AC558" s="277" t="s">
        <v>165</v>
      </c>
      <c r="AD558" s="278" t="s">
        <v>144</v>
      </c>
      <c r="AE558" s="40">
        <f>ROUND((((X558*E558)/1800)*0.8),4)</f>
        <v>8.1000000000000003E-2</v>
      </c>
      <c r="AF558" s="40">
        <f>ROUND(((Z558+AA558+AB558)*0.8),4)</f>
        <v>10.9369</v>
      </c>
      <c r="AG558" s="254"/>
      <c r="AH558" s="254"/>
    </row>
    <row r="559" spans="1:34" s="61" customFormat="1" ht="15" customHeight="1" x14ac:dyDescent="0.25">
      <c r="A559" s="289"/>
      <c r="B559" s="280" t="s">
        <v>571</v>
      </c>
      <c r="C559" s="39"/>
      <c r="D559" s="39"/>
      <c r="E559" s="39"/>
      <c r="F559" s="39"/>
      <c r="G559" s="39"/>
      <c r="H559" s="39"/>
      <c r="I559" s="39"/>
      <c r="J559" s="39"/>
      <c r="K559" s="39"/>
      <c r="L559" s="119"/>
      <c r="M559" s="119"/>
      <c r="N559" s="39"/>
      <c r="O559" s="39"/>
      <c r="P559" s="39"/>
      <c r="Q559" s="39"/>
      <c r="R559" s="39"/>
      <c r="S559" s="281"/>
      <c r="T559" s="39"/>
      <c r="U559" s="39"/>
      <c r="V559" s="39"/>
      <c r="W559" s="39"/>
      <c r="X559" s="39"/>
      <c r="Y559" s="39"/>
      <c r="Z559" s="39"/>
      <c r="AA559" s="39"/>
      <c r="AB559" s="39"/>
      <c r="AC559" s="277" t="s">
        <v>166</v>
      </c>
      <c r="AD559" s="278" t="s">
        <v>167</v>
      </c>
      <c r="AE559" s="40">
        <f>ROUND((((X558*E558)/1800)*0.13),4)</f>
        <v>1.32E-2</v>
      </c>
      <c r="AF559" s="40">
        <f>ROUND(((Z558+AA558+AB558)*0.13),4)</f>
        <v>1.7771999999999999</v>
      </c>
      <c r="AG559" s="254"/>
      <c r="AH559" s="254"/>
    </row>
    <row r="560" spans="1:34" s="61" customFormat="1" ht="15" customHeight="1" x14ac:dyDescent="0.25">
      <c r="A560" s="289"/>
      <c r="B560" s="287"/>
      <c r="C560" s="283"/>
      <c r="D560" s="283"/>
      <c r="E560" s="39"/>
      <c r="F560" s="39"/>
      <c r="G560" s="39"/>
      <c r="H560" s="39"/>
      <c r="I560" s="39"/>
      <c r="J560" s="39"/>
      <c r="K560" s="39"/>
      <c r="L560" s="40">
        <v>0.51</v>
      </c>
      <c r="M560" s="40">
        <v>0.63</v>
      </c>
      <c r="N560" s="39"/>
      <c r="O560" s="39"/>
      <c r="P560" s="39"/>
      <c r="Q560" s="39"/>
      <c r="R560" s="39"/>
      <c r="S560" s="284">
        <v>0.25</v>
      </c>
      <c r="T560" s="38">
        <f>ROUND((L560*I558+1.3*L560*K558+S560*H558),4)</f>
        <v>3002.4014999999999</v>
      </c>
      <c r="U560" s="38">
        <f>ROUND((M560*0.9*I558+1.3*M560*0.9*K558+S560*H558),4)</f>
        <v>3336.2876000000001</v>
      </c>
      <c r="V560" s="38">
        <f>ROUND((M560*I558+1.3*M560*K558+S560*H558),4)</f>
        <v>3705.3195000000001</v>
      </c>
      <c r="W560" s="38">
        <f>ROUND((L560*J558+1.3*L560*N558+S560*G558),4)</f>
        <v>15.27</v>
      </c>
      <c r="X560" s="38">
        <f>ROUND((M560*0.9*J558+1.3*M560*0.9*N558+S560*G558),4)</f>
        <v>16.809000000000001</v>
      </c>
      <c r="Y560" s="38">
        <f>ROUND((M560*J558+1.3*M560*N558+S560*G558),4)</f>
        <v>18.510000000000002</v>
      </c>
      <c r="Z560" s="276">
        <f>ROUND((P558*T560*F558*O558/1000000),4)</f>
        <v>0.54039999999999999</v>
      </c>
      <c r="AA560" s="276">
        <f>ROUND((Q558*U560*F558*O558/1000000),4)</f>
        <v>0.30030000000000001</v>
      </c>
      <c r="AB560" s="276">
        <f>ROUND((R558*V560*F558*O558/1000000),4)</f>
        <v>0.33350000000000002</v>
      </c>
      <c r="AC560" s="277" t="s">
        <v>547</v>
      </c>
      <c r="AD560" s="278" t="s">
        <v>169</v>
      </c>
      <c r="AE560" s="40">
        <f>ROUND((((X560*E558)/1800)),4)</f>
        <v>9.2999999999999992E-3</v>
      </c>
      <c r="AF560" s="40">
        <f>ROUND(((Z560+AA560+AB560)),5)</f>
        <v>1.1741999999999999</v>
      </c>
      <c r="AG560" s="254"/>
      <c r="AH560" s="254"/>
    </row>
    <row r="561" spans="1:36" s="61" customFormat="1" ht="15" customHeight="1" x14ac:dyDescent="0.25">
      <c r="A561" s="289"/>
      <c r="B561" s="280"/>
      <c r="C561" s="39"/>
      <c r="D561" s="39"/>
      <c r="E561" s="39"/>
      <c r="F561" s="39"/>
      <c r="G561" s="39"/>
      <c r="H561" s="39"/>
      <c r="I561" s="39"/>
      <c r="J561" s="39"/>
      <c r="K561" s="39"/>
      <c r="L561" s="40">
        <v>1.1399999999999999</v>
      </c>
      <c r="M561" s="40">
        <v>1.37</v>
      </c>
      <c r="N561" s="39"/>
      <c r="O561" s="39"/>
      <c r="P561" s="39"/>
      <c r="Q561" s="39"/>
      <c r="R561" s="39"/>
      <c r="S561" s="285">
        <v>0.79</v>
      </c>
      <c r="T561" s="38">
        <f>ROUND((L561*I558+1.3*L561*K558+S561*H558),4)</f>
        <v>6725.1210000000001</v>
      </c>
      <c r="U561" s="38">
        <f>ROUND((M561*0.9*I558+1.3*M561*0.9*K558+S561*H558),4)</f>
        <v>7269.8824999999997</v>
      </c>
      <c r="V561" s="38">
        <f>ROUND((M561*I558+1.3*M561*K558+S561*H558),4)</f>
        <v>8072.3805000000002</v>
      </c>
      <c r="W561" s="38">
        <f>ROUND((L561*J558+1.3*L561*N558+S561*G558),4)</f>
        <v>35.520000000000003</v>
      </c>
      <c r="X561" s="38">
        <f>ROUND((M561*0.9*J558+1.3*M561*0.9*N558+S561*G558),4)</f>
        <v>38.030999999999999</v>
      </c>
      <c r="Y561" s="38">
        <f>ROUND((M561*J558+1.3*N558+S561*G558),4)</f>
        <v>36.92</v>
      </c>
      <c r="Z561" s="276">
        <f>ROUND((P558*T561*F558*O558/1000000),4)</f>
        <v>1.2104999999999999</v>
      </c>
      <c r="AA561" s="276">
        <f>ROUND((Q558*U561*F558*O558/1000000),4)</f>
        <v>0.65429999999999999</v>
      </c>
      <c r="AB561" s="276">
        <f>ROUND((R558*V561*F558*O558/1000000),4)</f>
        <v>0.72650000000000003</v>
      </c>
      <c r="AC561" s="277" t="s">
        <v>548</v>
      </c>
      <c r="AD561" s="278" t="s">
        <v>549</v>
      </c>
      <c r="AE561" s="40">
        <f>ROUND((((X561*E558)/1800)),4)</f>
        <v>2.1100000000000001E-2</v>
      </c>
      <c r="AF561" s="40">
        <f>ROUND(((Z561+AA561+AB561)),4)</f>
        <v>2.5912999999999999</v>
      </c>
      <c r="AG561" s="254"/>
      <c r="AH561" s="254"/>
    </row>
    <row r="562" spans="1:36" s="61" customFormat="1" ht="15" customHeight="1" x14ac:dyDescent="0.25">
      <c r="A562" s="289"/>
      <c r="B562" s="280"/>
      <c r="C562" s="39"/>
      <c r="D562" s="39"/>
      <c r="E562" s="39"/>
      <c r="F562" s="39"/>
      <c r="G562" s="39"/>
      <c r="H562" s="39"/>
      <c r="I562" s="39"/>
      <c r="J562" s="39"/>
      <c r="K562" s="39"/>
      <c r="L562" s="40">
        <v>0.72</v>
      </c>
      <c r="M562" s="40">
        <v>1.08</v>
      </c>
      <c r="N562" s="39"/>
      <c r="O562" s="39"/>
      <c r="P562" s="39"/>
      <c r="Q562" s="39"/>
      <c r="R562" s="39"/>
      <c r="S562" s="285">
        <v>0.17</v>
      </c>
      <c r="T562" s="38">
        <f>ROUND((L562*I558+1.3*L562*K558+S562*H558),4)</f>
        <v>4227.7079999999996</v>
      </c>
      <c r="U562" s="38">
        <f>ROUND((M562*0.9*I558+1.3*M562*0.9*K558+S562*H558),4)</f>
        <v>5703.8357999999998</v>
      </c>
      <c r="V562" s="38">
        <f>ROUND((M562*I558+1.3*M562*K558+S562*H558),4)</f>
        <v>6336.4620000000004</v>
      </c>
      <c r="W562" s="38">
        <f>ROUND((L562*J558+1.3*L562*N558+S562*G558),4)</f>
        <v>20.46</v>
      </c>
      <c r="X562" s="38">
        <f>ROUND((M562*0.9*J558+1.3*M562*0.9*N558+S562*G558),4)</f>
        <v>27.263999999999999</v>
      </c>
      <c r="Y562" s="38">
        <f>ROUND((M562*J558+1.3*M562*N558+S562*G558),4)</f>
        <v>30.18</v>
      </c>
      <c r="Z562" s="276">
        <f>ROUND((P558*T562*F558*O558/1000000),4)</f>
        <v>0.76100000000000001</v>
      </c>
      <c r="AA562" s="276">
        <f>ROUND((Q558*U562*F558*O558/1000000),4)</f>
        <v>0.51329999999999998</v>
      </c>
      <c r="AB562" s="276">
        <f>ROUND((R558*V562*F558*O558/1000000),4)</f>
        <v>0.57030000000000003</v>
      </c>
      <c r="AC562" s="277" t="s">
        <v>172</v>
      </c>
      <c r="AD562" s="278" t="s">
        <v>173</v>
      </c>
      <c r="AE562" s="40">
        <f>ROUND((((X562*E558)/1800)),4)</f>
        <v>1.5100000000000001E-2</v>
      </c>
      <c r="AF562" s="40">
        <f>ROUND(((Z562+AA562+AB562)),4)</f>
        <v>1.8446</v>
      </c>
      <c r="AG562" s="254"/>
      <c r="AH562" s="254"/>
    </row>
    <row r="563" spans="1:36" s="61" customFormat="1" ht="15" customHeight="1" x14ac:dyDescent="0.25">
      <c r="A563" s="289"/>
      <c r="B563" s="286"/>
      <c r="C563" s="119"/>
      <c r="D563" s="119"/>
      <c r="E563" s="119"/>
      <c r="F563" s="119"/>
      <c r="G563" s="119"/>
      <c r="H563" s="119"/>
      <c r="I563" s="119"/>
      <c r="J563" s="119"/>
      <c r="K563" s="119"/>
      <c r="L563" s="40">
        <v>3.37</v>
      </c>
      <c r="M563" s="40">
        <v>4.1100000000000003</v>
      </c>
      <c r="N563" s="119"/>
      <c r="O563" s="119"/>
      <c r="P563" s="119"/>
      <c r="Q563" s="119"/>
      <c r="R563" s="119"/>
      <c r="S563" s="285">
        <v>6.31</v>
      </c>
      <c r="T563" s="38">
        <f>ROUND((L563*I558+1.3*L563*K558+S563*H558),4)</f>
        <v>20118.880499999999</v>
      </c>
      <c r="U563" s="38">
        <f>ROUND((M563*0.9*I558+1.3*M563*0.9*K558+S563*H558),4)</f>
        <v>22046.047399999999</v>
      </c>
      <c r="V563" s="38">
        <f>ROUND((M563*I558+1.3*M563*K558+S563*H558),4)</f>
        <v>24453.541499999999</v>
      </c>
      <c r="W563" s="38">
        <f>ROUND((L563*J558+1.3*L563*N558+S563*G558),4)</f>
        <v>128.85</v>
      </c>
      <c r="X563" s="38">
        <f>ROUND((M563*0.9*J558+1.3*M563*0.9*N558+S563*G558),4)</f>
        <v>137.733</v>
      </c>
      <c r="Y563" s="38">
        <f>ROUND((M563*J558+1.3*M563*N558+S563*G558),4)</f>
        <v>148.83000000000001</v>
      </c>
      <c r="Z563" s="276">
        <f>ROUND((P558*T563*F558*O558/1000000),4)</f>
        <v>3.6214</v>
      </c>
      <c r="AA563" s="276">
        <f>ROUND((Q558*U563*F558*O558/1000000),4)</f>
        <v>1.9841</v>
      </c>
      <c r="AB563" s="276">
        <f>ROUND((R558*V563*F558*O558/1000000),4)</f>
        <v>2.2008000000000001</v>
      </c>
      <c r="AC563" s="277" t="s">
        <v>157</v>
      </c>
      <c r="AD563" s="278" t="s">
        <v>153</v>
      </c>
      <c r="AE563" s="40">
        <f>ROUND((((X563*E558)/1800)),4)</f>
        <v>7.6499999999999999E-2</v>
      </c>
      <c r="AF563" s="40">
        <f>ROUND(((Z563+AA563+AB563)),4)</f>
        <v>7.8063000000000002</v>
      </c>
      <c r="AG563" s="254"/>
      <c r="AH563" s="254"/>
    </row>
    <row r="564" spans="1:36" s="61" customFormat="1" ht="15" customHeight="1" x14ac:dyDescent="0.25">
      <c r="A564" s="289"/>
      <c r="B564" s="274" t="s">
        <v>572</v>
      </c>
      <c r="C564" s="274">
        <v>6</v>
      </c>
      <c r="D564" s="38" t="s">
        <v>556</v>
      </c>
      <c r="E564" s="38">
        <v>1</v>
      </c>
      <c r="F564" s="38">
        <v>18</v>
      </c>
      <c r="G564" s="38">
        <v>6</v>
      </c>
      <c r="H564" s="38">
        <v>60</v>
      </c>
      <c r="I564" s="38">
        <f>(8-1-0.75*2)*60*F564-K564-8*0.12*60</f>
        <v>2021.4</v>
      </c>
      <c r="J564" s="38">
        <v>14</v>
      </c>
      <c r="K564" s="38">
        <f>(8-1-0.75*2)*0.65*60*F564</f>
        <v>3861</v>
      </c>
      <c r="L564" s="38">
        <v>6.47</v>
      </c>
      <c r="M564" s="38">
        <v>6.47</v>
      </c>
      <c r="N564" s="38">
        <v>10</v>
      </c>
      <c r="O564" s="38">
        <f>E564/F564</f>
        <v>5.5555555555555552E-2</v>
      </c>
      <c r="P564" s="38">
        <v>180</v>
      </c>
      <c r="Q564" s="38">
        <v>90</v>
      </c>
      <c r="R564" s="275">
        <v>90</v>
      </c>
      <c r="S564" s="275">
        <v>1.27</v>
      </c>
      <c r="T564" s="38">
        <f>ROUND((L564*I564+1.3*L564*K564+S564*H564),4)</f>
        <v>45629.529000000002</v>
      </c>
      <c r="U564" s="38">
        <f>ROUND((M564*I564+1.3*M564*K564+S564*H564),4)</f>
        <v>45629.529000000002</v>
      </c>
      <c r="V564" s="38">
        <f>ROUND((M564*I564+1.3*M564*K564+S564*H564),4)</f>
        <v>45629.529000000002</v>
      </c>
      <c r="W564" s="38">
        <f>ROUND((L564*J564+1.3*L564*N564+S564*G564),4)</f>
        <v>182.31</v>
      </c>
      <c r="X564" s="38">
        <f>ROUND((M564*J564+1.3*M564*N564+S564*G564),4)</f>
        <v>182.31</v>
      </c>
      <c r="Y564" s="38">
        <f>ROUND((M564*J564+1.3*M564*N564+S564*G564),4)</f>
        <v>182.31</v>
      </c>
      <c r="Z564" s="276">
        <f>ROUND((P564*T564*F564*O564/1000000),4)</f>
        <v>8.2133000000000003</v>
      </c>
      <c r="AA564" s="276">
        <f>ROUND((Q564*U564*F564*O564/1000000),4)</f>
        <v>4.1067</v>
      </c>
      <c r="AB564" s="276">
        <f>ROUND((R564*V564*F564*O564/1000000),4)</f>
        <v>4.1067</v>
      </c>
      <c r="AC564" s="277" t="s">
        <v>165</v>
      </c>
      <c r="AD564" s="278" t="s">
        <v>144</v>
      </c>
      <c r="AE564" s="40">
        <f>ROUND((((X564*E564)/1800)*0.8),4)</f>
        <v>8.1000000000000003E-2</v>
      </c>
      <c r="AF564" s="40">
        <f>ROUND(((Z564+AA564+AB564)*0.8),4)</f>
        <v>13.141400000000001</v>
      </c>
      <c r="AG564" s="288"/>
      <c r="AH564" s="288"/>
    </row>
    <row r="565" spans="1:36" s="61" customFormat="1" ht="15" customHeight="1" x14ac:dyDescent="0.25">
      <c r="A565" s="289"/>
      <c r="B565" s="280" t="s">
        <v>573</v>
      </c>
      <c r="C565" s="39"/>
      <c r="D565" s="39"/>
      <c r="E565" s="39"/>
      <c r="F565" s="39"/>
      <c r="G565" s="39"/>
      <c r="H565" s="39"/>
      <c r="I565" s="39"/>
      <c r="J565" s="39"/>
      <c r="K565" s="39"/>
      <c r="L565" s="119"/>
      <c r="M565" s="119"/>
      <c r="N565" s="39"/>
      <c r="O565" s="39"/>
      <c r="P565" s="39"/>
      <c r="Q565" s="39"/>
      <c r="R565" s="39"/>
      <c r="S565" s="281"/>
      <c r="T565" s="39"/>
      <c r="U565" s="39"/>
      <c r="V565" s="39"/>
      <c r="W565" s="39"/>
      <c r="X565" s="39"/>
      <c r="Y565" s="39"/>
      <c r="Z565" s="39"/>
      <c r="AA565" s="39"/>
      <c r="AB565" s="39"/>
      <c r="AC565" s="277" t="s">
        <v>166</v>
      </c>
      <c r="AD565" s="278" t="s">
        <v>167</v>
      </c>
      <c r="AE565" s="40">
        <f>ROUND((((X564*E564)/1800)*0.13),4)</f>
        <v>1.32E-2</v>
      </c>
      <c r="AF565" s="40">
        <f>ROUND(((Z564+AA564+AB564)*0.13),4)</f>
        <v>2.1355</v>
      </c>
      <c r="AG565" s="288"/>
      <c r="AH565" s="288"/>
    </row>
    <row r="566" spans="1:36" s="61" customFormat="1" ht="15" customHeight="1" x14ac:dyDescent="0.25">
      <c r="A566" s="289"/>
      <c r="B566" s="287"/>
      <c r="C566" s="283"/>
      <c r="D566" s="283"/>
      <c r="E566" s="39"/>
      <c r="F566" s="39"/>
      <c r="G566" s="39"/>
      <c r="H566" s="39"/>
      <c r="I566" s="39"/>
      <c r="J566" s="39"/>
      <c r="K566" s="39"/>
      <c r="L566" s="40">
        <v>0.51</v>
      </c>
      <c r="M566" s="40">
        <v>0.63</v>
      </c>
      <c r="N566" s="39"/>
      <c r="O566" s="39"/>
      <c r="P566" s="39"/>
      <c r="Q566" s="39"/>
      <c r="R566" s="39"/>
      <c r="S566" s="284">
        <v>0.25</v>
      </c>
      <c r="T566" s="38">
        <f>ROUND((L566*I564+1.3*L566*K564+S566*H564),4)</f>
        <v>3605.7570000000001</v>
      </c>
      <c r="U566" s="38">
        <f>ROUND((M566*0.9*I564+1.3*M566*0.9*K564+S566*H564),4)</f>
        <v>4007.0769</v>
      </c>
      <c r="V566" s="38">
        <f>ROUND((M566*I564+1.3*M566*K564+S566*H564),4)</f>
        <v>4450.6409999999996</v>
      </c>
      <c r="W566" s="38">
        <f>ROUND((L566*J564+1.3*L566*N564+S566*G564),4)</f>
        <v>15.27</v>
      </c>
      <c r="X566" s="38">
        <f>ROUND((M566*0.9*J564+1.3*M566*0.9*N564+S566*G564),4)</f>
        <v>16.809000000000001</v>
      </c>
      <c r="Y566" s="38">
        <f>ROUND((M566*J564+1.3*M566*N564+S566*G564),4)</f>
        <v>18.510000000000002</v>
      </c>
      <c r="Z566" s="276">
        <f>ROUND((P564*T566*F564*O564/1000000),4)</f>
        <v>0.64900000000000002</v>
      </c>
      <c r="AA566" s="276">
        <f>ROUND((Q564*U566*F564*O564/1000000),4)</f>
        <v>0.36059999999999998</v>
      </c>
      <c r="AB566" s="276">
        <f>ROUND((R564*V566*F564*O564/1000000),4)</f>
        <v>0.40060000000000001</v>
      </c>
      <c r="AC566" s="277" t="s">
        <v>547</v>
      </c>
      <c r="AD566" s="278" t="s">
        <v>169</v>
      </c>
      <c r="AE566" s="40">
        <f>ROUND((((X566*E564)/1800)),4)</f>
        <v>9.2999999999999992E-3</v>
      </c>
      <c r="AF566" s="40">
        <f>ROUND(((Z566+AA566+AB566)),5)</f>
        <v>1.4101999999999999</v>
      </c>
      <c r="AG566" s="288"/>
      <c r="AH566" s="288"/>
    </row>
    <row r="567" spans="1:36" s="61" customFormat="1" ht="15" customHeight="1" x14ac:dyDescent="0.25">
      <c r="A567" s="289"/>
      <c r="B567" s="280"/>
      <c r="C567" s="39"/>
      <c r="D567" s="39"/>
      <c r="E567" s="39"/>
      <c r="F567" s="39"/>
      <c r="G567" s="39"/>
      <c r="H567" s="39"/>
      <c r="I567" s="39"/>
      <c r="J567" s="39"/>
      <c r="K567" s="39"/>
      <c r="L567" s="40">
        <v>1.1399999999999999</v>
      </c>
      <c r="M567" s="40">
        <v>1.37</v>
      </c>
      <c r="N567" s="39"/>
      <c r="O567" s="39"/>
      <c r="P567" s="39"/>
      <c r="Q567" s="39"/>
      <c r="R567" s="39"/>
      <c r="S567" s="285">
        <v>0.79</v>
      </c>
      <c r="T567" s="38">
        <f>ROUND((L567*I564+1.3*L567*K564+S567*H564),4)</f>
        <v>8073.7979999999998</v>
      </c>
      <c r="U567" s="38">
        <f>ROUND((M567*0.9*I564+1.3*M567*0.9*K564+S567*H564),4)</f>
        <v>8728.5830999999998</v>
      </c>
      <c r="V567" s="38">
        <f>ROUND((M567*I564+1.3*M567*K564+S567*H564),4)</f>
        <v>9693.1589999999997</v>
      </c>
      <c r="W567" s="38">
        <f>ROUND((L567*J564+1.3*L567*N564+S567*G564),4)</f>
        <v>35.520000000000003</v>
      </c>
      <c r="X567" s="38">
        <f>ROUND((M567*0.9*J564+1.3*M567*0.9*N564+S567*G564),4)</f>
        <v>38.030999999999999</v>
      </c>
      <c r="Y567" s="38">
        <f>ROUND((M567*J564+1.3*N564+S567*G564),4)</f>
        <v>36.92</v>
      </c>
      <c r="Z567" s="276">
        <f>ROUND((P564*T567*F564*O564/1000000),4)</f>
        <v>1.4533</v>
      </c>
      <c r="AA567" s="276">
        <f>ROUND((Q564*U567*F564*O564/1000000),4)</f>
        <v>0.78559999999999997</v>
      </c>
      <c r="AB567" s="276">
        <f>ROUND((R564*V567*F564*O564/1000000),4)</f>
        <v>0.87239999999999995</v>
      </c>
      <c r="AC567" s="277" t="s">
        <v>548</v>
      </c>
      <c r="AD567" s="278" t="s">
        <v>549</v>
      </c>
      <c r="AE567" s="40">
        <f>ROUND((((X567*E564)/1800)),4)</f>
        <v>2.1100000000000001E-2</v>
      </c>
      <c r="AF567" s="40">
        <f>ROUND(((Z567+AA567+AB567)),4)</f>
        <v>3.1113</v>
      </c>
      <c r="AG567" s="288"/>
      <c r="AH567" s="288"/>
    </row>
    <row r="568" spans="1:36" s="61" customFormat="1" ht="15" customHeight="1" x14ac:dyDescent="0.25">
      <c r="A568" s="289"/>
      <c r="B568" s="280"/>
      <c r="C568" s="39"/>
      <c r="D568" s="39"/>
      <c r="E568" s="39"/>
      <c r="F568" s="39"/>
      <c r="G568" s="39"/>
      <c r="H568" s="39"/>
      <c r="I568" s="39"/>
      <c r="J568" s="39"/>
      <c r="K568" s="39"/>
      <c r="L568" s="40">
        <v>0.72</v>
      </c>
      <c r="M568" s="40">
        <v>1.08</v>
      </c>
      <c r="N568" s="39"/>
      <c r="O568" s="39"/>
      <c r="P568" s="39"/>
      <c r="Q568" s="39"/>
      <c r="R568" s="39"/>
      <c r="S568" s="285">
        <v>0.17</v>
      </c>
      <c r="T568" s="38">
        <f>ROUND((L568*I564+1.3*L568*K564+S568*H564),4)</f>
        <v>5079.5039999999999</v>
      </c>
      <c r="U568" s="38">
        <f>ROUND((M568*0.9*I564+1.3*M568*0.9*K564+S568*H564),4)</f>
        <v>6853.7604000000001</v>
      </c>
      <c r="V568" s="38">
        <f>ROUND((M568*I564+1.3*M568*K564+S568*H564),4)</f>
        <v>7614.1559999999999</v>
      </c>
      <c r="W568" s="38">
        <f>ROUND((L568*J564+1.3*L568*N564+S568*G564),4)</f>
        <v>20.46</v>
      </c>
      <c r="X568" s="38">
        <f>ROUND((M568*0.9*J564+1.3*M568*0.9*N564+S568*G564),4)</f>
        <v>27.263999999999999</v>
      </c>
      <c r="Y568" s="38">
        <f>ROUND((M568*J564+1.3*M568*N564+S568*G564),4)</f>
        <v>30.18</v>
      </c>
      <c r="Z568" s="276">
        <f>ROUND((P564*T568*F564*O564/1000000),4)</f>
        <v>0.9143</v>
      </c>
      <c r="AA568" s="276">
        <f>ROUND((Q564*U568*F564*O564/1000000),4)</f>
        <v>0.61680000000000001</v>
      </c>
      <c r="AB568" s="276">
        <f>ROUND((R564*V568*F564*O564/1000000),4)</f>
        <v>0.68530000000000002</v>
      </c>
      <c r="AC568" s="277" t="s">
        <v>172</v>
      </c>
      <c r="AD568" s="278" t="s">
        <v>173</v>
      </c>
      <c r="AE568" s="40">
        <f>ROUND((((X568*E564)/1800)),4)</f>
        <v>1.5100000000000001E-2</v>
      </c>
      <c r="AF568" s="40">
        <f>ROUND(((Z568+AA568+AB568)),4)</f>
        <v>2.2164000000000001</v>
      </c>
      <c r="AG568" s="288"/>
      <c r="AH568" s="288"/>
    </row>
    <row r="569" spans="1:36" s="61" customFormat="1" ht="15" customHeight="1" x14ac:dyDescent="0.25">
      <c r="A569" s="289"/>
      <c r="B569" s="286"/>
      <c r="C569" s="119"/>
      <c r="D569" s="119"/>
      <c r="E569" s="119"/>
      <c r="F569" s="119"/>
      <c r="G569" s="119"/>
      <c r="H569" s="119"/>
      <c r="I569" s="119"/>
      <c r="J569" s="119"/>
      <c r="K569" s="119"/>
      <c r="L569" s="40">
        <v>3.37</v>
      </c>
      <c r="M569" s="40">
        <v>4.1100000000000003</v>
      </c>
      <c r="N569" s="119"/>
      <c r="O569" s="119"/>
      <c r="P569" s="119"/>
      <c r="Q569" s="119"/>
      <c r="R569" s="119"/>
      <c r="S569" s="285">
        <v>6.31</v>
      </c>
      <c r="T569" s="38">
        <f>ROUND((L569*I564+1.3*L569*K564+S569*H564),4)</f>
        <v>24105.758999999998</v>
      </c>
      <c r="U569" s="38">
        <f>ROUND((M569*0.9*I564+1.3*M569*0.9*K564+S569*H564),4)</f>
        <v>26422.149300000001</v>
      </c>
      <c r="V569" s="38">
        <f>ROUND((M569*I564+1.3*M569*K564+S569*H564),4)</f>
        <v>29315.877</v>
      </c>
      <c r="W569" s="38">
        <f>ROUND((L569*J564+1.3*L569*N564+S569*G564),4)</f>
        <v>128.85</v>
      </c>
      <c r="X569" s="38">
        <f>ROUND((M569*0.9*J564+1.3*M569*0.9*N564+S569*G564),4)</f>
        <v>137.733</v>
      </c>
      <c r="Y569" s="38">
        <f>ROUND((M569*J564+1.3*M569*N564+S569*G564),4)</f>
        <v>148.83000000000001</v>
      </c>
      <c r="Z569" s="276">
        <f>ROUND((P564*T569*F564*O564/1000000),4)</f>
        <v>4.3390000000000004</v>
      </c>
      <c r="AA569" s="276">
        <f>ROUND((Q564*U569*F564*O564/1000000),4)</f>
        <v>2.3780000000000001</v>
      </c>
      <c r="AB569" s="276">
        <f>ROUND((R564*V569*F564*O564/1000000),4)</f>
        <v>2.6383999999999999</v>
      </c>
      <c r="AC569" s="277" t="s">
        <v>157</v>
      </c>
      <c r="AD569" s="278" t="s">
        <v>153</v>
      </c>
      <c r="AE569" s="40">
        <f>ROUND((((X569*E564)/1800)),4)</f>
        <v>7.6499999999999999E-2</v>
      </c>
      <c r="AF569" s="40">
        <f>ROUND(((Z569+AA569+AB569)),4)</f>
        <v>9.3553999999999995</v>
      </c>
      <c r="AG569" s="288"/>
      <c r="AH569" s="288"/>
    </row>
    <row r="570" spans="1:36" s="61" customFormat="1" ht="15" customHeight="1" x14ac:dyDescent="0.25">
      <c r="A570" s="260"/>
      <c r="B570" s="1478" t="s">
        <v>574</v>
      </c>
      <c r="C570" s="274">
        <v>5</v>
      </c>
      <c r="D570" s="38" t="s">
        <v>552</v>
      </c>
      <c r="E570" s="38">
        <v>1</v>
      </c>
      <c r="F570" s="38">
        <v>13</v>
      </c>
      <c r="G570" s="38">
        <v>6</v>
      </c>
      <c r="H570" s="38">
        <v>60</v>
      </c>
      <c r="I570" s="38">
        <f>(8-1-0.75*2)*60*F570-K570-8*0.12*60</f>
        <v>1443.9</v>
      </c>
      <c r="J570" s="38">
        <v>14</v>
      </c>
      <c r="K570" s="38">
        <f>(8-1-0.75*2)*0.65*60*F570</f>
        <v>2788.5</v>
      </c>
      <c r="L570" s="38">
        <v>4.01</v>
      </c>
      <c r="M570" s="38">
        <v>4.01</v>
      </c>
      <c r="N570" s="38">
        <v>10</v>
      </c>
      <c r="O570" s="38">
        <f>E570/F570</f>
        <v>7.6923076923076927E-2</v>
      </c>
      <c r="P570" s="38">
        <v>180</v>
      </c>
      <c r="Q570" s="38">
        <v>90</v>
      </c>
      <c r="R570" s="275">
        <v>90</v>
      </c>
      <c r="S570" s="275">
        <v>0.78</v>
      </c>
      <c r="T570" s="38">
        <f>ROUND((L570*I570+1.3*L570*K570+S570*H570),4)</f>
        <v>20373.289499999999</v>
      </c>
      <c r="U570" s="38">
        <f>ROUND((M570*I570+1.3*M570*K570+S570*H570),4)</f>
        <v>20373.289499999999</v>
      </c>
      <c r="V570" s="38">
        <f>ROUND((M570*I570+1.3*M570*K570+S570*H570),4)</f>
        <v>20373.289499999999</v>
      </c>
      <c r="W570" s="38">
        <f>ROUND((L570*J570+1.3*L570*N570+S570*G570),4)</f>
        <v>112.95</v>
      </c>
      <c r="X570" s="38">
        <f>ROUND((M570*J570+1.3*M570*N570+S570*G570),4)</f>
        <v>112.95</v>
      </c>
      <c r="Y570" s="38">
        <f>ROUND((M570*J570+1.3*M570*N570+S570*G570),4)</f>
        <v>112.95</v>
      </c>
      <c r="Z570" s="276">
        <f>ROUND((P570*T570*F570*O570/1000000),4)</f>
        <v>3.6671999999999998</v>
      </c>
      <c r="AA570" s="276">
        <f>ROUND((Q570*U570*F570*O570/1000000),4)</f>
        <v>1.8335999999999999</v>
      </c>
      <c r="AB570" s="276">
        <f>ROUND((R570*V570*F570*O570/1000000),4)</f>
        <v>1.8335999999999999</v>
      </c>
      <c r="AC570" s="277" t="s">
        <v>165</v>
      </c>
      <c r="AD570" s="278" t="s">
        <v>144</v>
      </c>
      <c r="AE570" s="40">
        <f>ROUND((((X570*E570)/1800)*0.8),4)</f>
        <v>5.0200000000000002E-2</v>
      </c>
      <c r="AF570" s="40">
        <f>ROUND(((Z570+AA570+AB570)*0.8),4)</f>
        <v>5.8674999999999997</v>
      </c>
      <c r="AG570" s="288"/>
      <c r="AH570" s="254"/>
    </row>
    <row r="571" spans="1:36" s="61" customFormat="1" ht="15" customHeight="1" x14ac:dyDescent="0.25">
      <c r="A571" s="260"/>
      <c r="B571" s="1634"/>
      <c r="C571" s="280"/>
      <c r="D571" s="39"/>
      <c r="E571" s="39"/>
      <c r="F571" s="39"/>
      <c r="G571" s="39"/>
      <c r="H571" s="39"/>
      <c r="I571" s="39"/>
      <c r="J571" s="39"/>
      <c r="K571" s="39"/>
      <c r="L571" s="119"/>
      <c r="M571" s="119"/>
      <c r="N571" s="39"/>
      <c r="O571" s="39"/>
      <c r="P571" s="39"/>
      <c r="Q571" s="39"/>
      <c r="R571" s="39"/>
      <c r="S571" s="281"/>
      <c r="T571" s="39"/>
      <c r="U571" s="39"/>
      <c r="V571" s="39"/>
      <c r="W571" s="39"/>
      <c r="X571" s="39"/>
      <c r="Y571" s="39"/>
      <c r="Z571" s="39"/>
      <c r="AA571" s="39"/>
      <c r="AB571" s="39"/>
      <c r="AC571" s="277" t="s">
        <v>166</v>
      </c>
      <c r="AD571" s="278" t="s">
        <v>167</v>
      </c>
      <c r="AE571" s="40">
        <f>ROUND((((X570*E570)/1800)*0.13),4)</f>
        <v>8.2000000000000007E-3</v>
      </c>
      <c r="AF571" s="40">
        <f>ROUND(((Z570+AA570+AB570)*0.13),4)</f>
        <v>0.95350000000000001</v>
      </c>
      <c r="AG571" s="288"/>
      <c r="AH571" s="254"/>
    </row>
    <row r="572" spans="1:36" s="61" customFormat="1" ht="15" customHeight="1" x14ac:dyDescent="0.25">
      <c r="A572" s="260"/>
      <c r="B572" s="279" t="s">
        <v>575</v>
      </c>
      <c r="C572" s="282"/>
      <c r="D572" s="283"/>
      <c r="E572" s="39"/>
      <c r="F572" s="39"/>
      <c r="G572" s="39"/>
      <c r="H572" s="39"/>
      <c r="I572" s="39"/>
      <c r="J572" s="39"/>
      <c r="K572" s="39"/>
      <c r="L572" s="40">
        <v>0.31</v>
      </c>
      <c r="M572" s="40">
        <v>0.38</v>
      </c>
      <c r="N572" s="39"/>
      <c r="O572" s="39"/>
      <c r="P572" s="39"/>
      <c r="Q572" s="39"/>
      <c r="R572" s="39"/>
      <c r="S572" s="284">
        <v>0.16</v>
      </c>
      <c r="T572" s="38">
        <f>ROUND((L572*I570+1.3*L572*K570+S572*H570),4)</f>
        <v>1580.9745</v>
      </c>
      <c r="U572" s="38">
        <f>ROUND((M572*0.9*I570+1.3*M572*0.9*K570+S572*H570),4)</f>
        <v>1743.1809000000001</v>
      </c>
      <c r="V572" s="38">
        <f>ROUND((M572*I570+1.3*M572*K570+S572*H570),4)</f>
        <v>1935.8009999999999</v>
      </c>
      <c r="W572" s="38">
        <f>ROUND((L572*J570+1.3*L572*N570+S572*G570),4)</f>
        <v>9.33</v>
      </c>
      <c r="X572" s="38">
        <f>ROUND((M572*0.9*J570+1.3*M572*0.9*N570+S572*G570),4)</f>
        <v>10.194000000000001</v>
      </c>
      <c r="Y572" s="38">
        <f>ROUND((M572*J570+1.3*M572*N570+S572*G570),4)</f>
        <v>11.22</v>
      </c>
      <c r="Z572" s="276">
        <f>ROUND((P570*T572*F570*O570/1000000),4)</f>
        <v>0.28460000000000002</v>
      </c>
      <c r="AA572" s="276">
        <f>ROUND((Q570*U572*F570*O570/1000000),4)</f>
        <v>0.15690000000000001</v>
      </c>
      <c r="AB572" s="276">
        <f>ROUND((R570*V572*F570*O570/1000000),4)</f>
        <v>0.17419999999999999</v>
      </c>
      <c r="AC572" s="277" t="s">
        <v>547</v>
      </c>
      <c r="AD572" s="278" t="s">
        <v>169</v>
      </c>
      <c r="AE572" s="40">
        <f>ROUND((((X572*E570)/1800)),4)</f>
        <v>5.7000000000000002E-3</v>
      </c>
      <c r="AF572" s="40">
        <f>ROUND(((Z572+AA572+AB572)),5)</f>
        <v>0.61570000000000003</v>
      </c>
      <c r="AG572" s="288"/>
      <c r="AH572" s="254"/>
    </row>
    <row r="573" spans="1:36" s="61" customFormat="1" ht="15" customHeight="1" x14ac:dyDescent="0.25">
      <c r="A573" s="260"/>
      <c r="B573" s="280"/>
      <c r="C573" s="280"/>
      <c r="D573" s="39"/>
      <c r="E573" s="39"/>
      <c r="F573" s="39"/>
      <c r="G573" s="39"/>
      <c r="H573" s="39"/>
      <c r="I573" s="39"/>
      <c r="J573" s="39"/>
      <c r="K573" s="39"/>
      <c r="L573" s="40">
        <v>0.71</v>
      </c>
      <c r="M573" s="40">
        <v>0.85</v>
      </c>
      <c r="N573" s="39"/>
      <c r="O573" s="39"/>
      <c r="P573" s="39"/>
      <c r="Q573" s="39"/>
      <c r="R573" s="39"/>
      <c r="S573" s="285">
        <v>0.49</v>
      </c>
      <c r="T573" s="38">
        <f>ROUND((L573*I570+1.3*L573*K570+S573*H570),4)</f>
        <v>3628.3544999999999</v>
      </c>
      <c r="U573" s="38">
        <f>ROUND((M573*0.9*I570+1.3*M573*0.9*K570+S573*H570),4)</f>
        <v>3907.1468</v>
      </c>
      <c r="V573" s="38">
        <f>ROUND((M573*I570+1.3*M573*K570+S573*H570),4)</f>
        <v>4338.0074999999997</v>
      </c>
      <c r="W573" s="38">
        <f>ROUND((L573*J570+1.3*L573*N570+S573*G570),4)</f>
        <v>22.11</v>
      </c>
      <c r="X573" s="38">
        <f>ROUND((M573*0.9*J570+1.3*M573*0.9*N570+S573*G570),4)</f>
        <v>23.594999999999999</v>
      </c>
      <c r="Y573" s="38">
        <f>ROUND((M573*J570+1.3*N570+S573*G570),4)</f>
        <v>27.84</v>
      </c>
      <c r="Z573" s="276">
        <f>ROUND((P570*T573*F570*O570/1000000),4)</f>
        <v>0.65310000000000001</v>
      </c>
      <c r="AA573" s="276">
        <f>ROUND((Q570*U573*F570*O570/1000000),4)</f>
        <v>0.35160000000000002</v>
      </c>
      <c r="AB573" s="276">
        <f>ROUND((R570*V573*F570*O570/1000000),4)</f>
        <v>0.39040000000000002</v>
      </c>
      <c r="AC573" s="277" t="s">
        <v>548</v>
      </c>
      <c r="AD573" s="278" t="s">
        <v>549</v>
      </c>
      <c r="AE573" s="40">
        <f>ROUND((((X573*E570)/1800)),4)</f>
        <v>1.3100000000000001E-2</v>
      </c>
      <c r="AF573" s="40">
        <f>ROUND(((Z573+AA573+AB573)),4)</f>
        <v>1.3951</v>
      </c>
      <c r="AG573" s="288"/>
      <c r="AH573" s="254"/>
    </row>
    <row r="574" spans="1:36" s="61" customFormat="1" ht="15" customHeight="1" x14ac:dyDescent="0.25">
      <c r="A574" s="260"/>
      <c r="B574" s="280"/>
      <c r="C574" s="280"/>
      <c r="D574" s="39"/>
      <c r="E574" s="39"/>
      <c r="F574" s="39"/>
      <c r="G574" s="39"/>
      <c r="H574" s="39"/>
      <c r="I574" s="39"/>
      <c r="J574" s="39"/>
      <c r="K574" s="39"/>
      <c r="L574" s="40">
        <v>0.45</v>
      </c>
      <c r="M574" s="40">
        <v>0.67</v>
      </c>
      <c r="N574" s="39"/>
      <c r="O574" s="39"/>
      <c r="P574" s="39"/>
      <c r="Q574" s="39"/>
      <c r="R574" s="39"/>
      <c r="S574" s="285">
        <v>0.1</v>
      </c>
      <c r="T574" s="38">
        <f>ROUND((L574*I570+1.3*L574*K570+S574*H570),4)</f>
        <v>2287.0275000000001</v>
      </c>
      <c r="U574" s="38">
        <f>ROUND((M574*0.9*I570+1.3*M574*0.9*K570+S574*H570),4)</f>
        <v>3062.5769</v>
      </c>
      <c r="V574" s="38">
        <f>ROUND((M574*I570+1.3*M574*K570+S574*H570),4)</f>
        <v>3402.1965</v>
      </c>
      <c r="W574" s="38">
        <f>ROUND((L574*J570+1.3*L574*N570+S574*G570),4)</f>
        <v>12.75</v>
      </c>
      <c r="X574" s="38">
        <f>ROUND((M574*0.9*J570+1.3*M574*0.9*N570+S574*G570),4)</f>
        <v>16.881</v>
      </c>
      <c r="Y574" s="38">
        <f>ROUND((M574*J570+1.3*M574*N570+S574*G570),4)</f>
        <v>18.690000000000001</v>
      </c>
      <c r="Z574" s="276">
        <f>ROUND((P570*T574*F570*O570/1000000),4)</f>
        <v>0.41170000000000001</v>
      </c>
      <c r="AA574" s="276">
        <f>ROUND((Q570*U574*F570*O570/1000000),4)</f>
        <v>0.27560000000000001</v>
      </c>
      <c r="AB574" s="276">
        <f>ROUND((R570*V574*F570*O570/1000000),4)</f>
        <v>0.30620000000000003</v>
      </c>
      <c r="AC574" s="277" t="s">
        <v>172</v>
      </c>
      <c r="AD574" s="278" t="s">
        <v>173</v>
      </c>
      <c r="AE574" s="40">
        <f>ROUND((((X574*E570)/1800)),4)</f>
        <v>9.4000000000000004E-3</v>
      </c>
      <c r="AF574" s="40">
        <f>ROUND(((Z574+AA574+AB574)),4)</f>
        <v>0.99350000000000005</v>
      </c>
      <c r="AG574" s="288"/>
      <c r="AH574" s="254"/>
    </row>
    <row r="575" spans="1:36" s="61" customFormat="1" ht="15" customHeight="1" x14ac:dyDescent="0.25">
      <c r="A575" s="260"/>
      <c r="B575" s="286"/>
      <c r="C575" s="286"/>
      <c r="D575" s="119"/>
      <c r="E575" s="119"/>
      <c r="F575" s="119"/>
      <c r="G575" s="119"/>
      <c r="H575" s="119"/>
      <c r="I575" s="119"/>
      <c r="J575" s="119"/>
      <c r="K575" s="119"/>
      <c r="L575" s="40">
        <v>2.09</v>
      </c>
      <c r="M575" s="40">
        <v>2.5499999999999998</v>
      </c>
      <c r="N575" s="119"/>
      <c r="O575" s="119"/>
      <c r="P575" s="119"/>
      <c r="Q575" s="119"/>
      <c r="R575" s="119"/>
      <c r="S575" s="285">
        <v>3.91</v>
      </c>
      <c r="T575" s="38">
        <f>ROUND((L575*I570+1.3*L575*K570+S575*H570),4)</f>
        <v>10828.7055</v>
      </c>
      <c r="U575" s="38">
        <f>ROUND((M575*0.9*I570+1.3*M575*0.9*K570+S575*H570),4)</f>
        <v>11867.8403</v>
      </c>
      <c r="V575" s="38">
        <f>ROUND((M575*I570+1.3*M575*K570+S575*H570),4)</f>
        <v>13160.422500000001</v>
      </c>
      <c r="W575" s="38">
        <f>ROUND((L575*J570+1.3*L575*N570+S575*G570),4)</f>
        <v>79.89</v>
      </c>
      <c r="X575" s="38">
        <f>ROUND((M575*0.9*J570+1.3*M575*0.9*N570+S575*G570),4)</f>
        <v>85.424999999999997</v>
      </c>
      <c r="Y575" s="38">
        <f>ROUND((M575*J570+1.3*M575*N570+S575*G570),4)</f>
        <v>92.31</v>
      </c>
      <c r="Z575" s="276">
        <f>ROUND((P570*T575*F570*O570/1000000),4)</f>
        <v>1.9492</v>
      </c>
      <c r="AA575" s="276">
        <f>ROUND((Q570*U575*F570*O570/1000000),4)</f>
        <v>1.0681</v>
      </c>
      <c r="AB575" s="276">
        <f>ROUND((R570*V575*F570*O570/1000000),4)</f>
        <v>1.1843999999999999</v>
      </c>
      <c r="AC575" s="277" t="s">
        <v>157</v>
      </c>
      <c r="AD575" s="278" t="s">
        <v>153</v>
      </c>
      <c r="AE575" s="40">
        <f>ROUND((((X575*E570)/1800)),4)</f>
        <v>4.7500000000000001E-2</v>
      </c>
      <c r="AF575" s="40">
        <f>ROUND(((Z575+AA575+AB575)),4)</f>
        <v>4.2016999999999998</v>
      </c>
      <c r="AG575" s="288"/>
      <c r="AH575" s="254"/>
    </row>
    <row r="576" spans="1:36" s="61" customFormat="1" ht="15" customHeight="1" x14ac:dyDescent="0.25">
      <c r="A576" s="290"/>
      <c r="B576" s="274" t="s">
        <v>576</v>
      </c>
      <c r="C576" s="274">
        <v>6</v>
      </c>
      <c r="D576" s="38" t="s">
        <v>556</v>
      </c>
      <c r="E576" s="38">
        <v>1</v>
      </c>
      <c r="F576" s="38">
        <v>12</v>
      </c>
      <c r="G576" s="38">
        <v>6</v>
      </c>
      <c r="H576" s="38">
        <v>60</v>
      </c>
      <c r="I576" s="38">
        <f>(8-1-0.75*2)*60*F576-K576-8*0.12*60</f>
        <v>1328.4</v>
      </c>
      <c r="J576" s="38">
        <v>14</v>
      </c>
      <c r="K576" s="38">
        <f>(8-1-0.75*2)*0.65*60*F576</f>
        <v>2574</v>
      </c>
      <c r="L576" s="38">
        <v>6.47</v>
      </c>
      <c r="M576" s="38">
        <v>6.47</v>
      </c>
      <c r="N576" s="38">
        <v>10</v>
      </c>
      <c r="O576" s="38">
        <f>E576/F576</f>
        <v>8.3333333333333329E-2</v>
      </c>
      <c r="P576" s="38">
        <v>180</v>
      </c>
      <c r="Q576" s="38">
        <v>90</v>
      </c>
      <c r="R576" s="275">
        <v>90</v>
      </c>
      <c r="S576" s="275">
        <v>1.27</v>
      </c>
      <c r="T576" s="38">
        <f>ROUND((L576*I576+1.3*L576*K576+S576*H576),4)</f>
        <v>30320.862000000001</v>
      </c>
      <c r="U576" s="38">
        <f>ROUND((M576*I576+1.3*M576*K576+S576*H576),4)</f>
        <v>30320.862000000001</v>
      </c>
      <c r="V576" s="38">
        <f>ROUND((M576*I576+1.3*M576*K576+S576*H576),4)</f>
        <v>30320.862000000001</v>
      </c>
      <c r="W576" s="38">
        <f>ROUND((L576*J576+1.3*L576*N576+S576*G576),4)</f>
        <v>182.31</v>
      </c>
      <c r="X576" s="38">
        <f>ROUND((M576*J576+1.3*M576*N576+S576*G576),4)</f>
        <v>182.31</v>
      </c>
      <c r="Y576" s="38">
        <f>ROUND((M576*J576+1.3*M576*N576+S576*G576),4)</f>
        <v>182.31</v>
      </c>
      <c r="Z576" s="276">
        <f>ROUND((P576*T576*F576*O576/1000000),4)</f>
        <v>5.4577999999999998</v>
      </c>
      <c r="AA576" s="276">
        <f>ROUND((Q576*U576*F576*O576/1000000),4)</f>
        <v>2.7288999999999999</v>
      </c>
      <c r="AB576" s="276">
        <f>ROUND((R576*V576*F576*O576/1000000),4)</f>
        <v>2.7288999999999999</v>
      </c>
      <c r="AC576" s="277" t="s">
        <v>165</v>
      </c>
      <c r="AD576" s="278" t="s">
        <v>144</v>
      </c>
      <c r="AE576" s="40">
        <f>ROUND((((X576*E576)/1800)*0.8),4)</f>
        <v>8.1000000000000003E-2</v>
      </c>
      <c r="AF576" s="40">
        <f>ROUND(((Z576+AA576+AB576)*0.8),4)</f>
        <v>8.7324999999999999</v>
      </c>
      <c r="AG576" s="288"/>
      <c r="AH576" s="288"/>
      <c r="AI576" s="288"/>
      <c r="AJ576" s="288"/>
    </row>
    <row r="577" spans="1:36" s="61" customFormat="1" ht="15" customHeight="1" x14ac:dyDescent="0.25">
      <c r="A577" s="290"/>
      <c r="B577" s="1634" t="s">
        <v>577</v>
      </c>
      <c r="C577" s="39"/>
      <c r="D577" s="39"/>
      <c r="E577" s="39"/>
      <c r="F577" s="39"/>
      <c r="G577" s="39"/>
      <c r="H577" s="39"/>
      <c r="I577" s="39"/>
      <c r="J577" s="39"/>
      <c r="K577" s="39"/>
      <c r="L577" s="119"/>
      <c r="M577" s="119"/>
      <c r="N577" s="39"/>
      <c r="O577" s="39"/>
      <c r="P577" s="39"/>
      <c r="Q577" s="39"/>
      <c r="R577" s="39"/>
      <c r="S577" s="281"/>
      <c r="T577" s="39"/>
      <c r="U577" s="39"/>
      <c r="V577" s="39"/>
      <c r="W577" s="39"/>
      <c r="X577" s="39"/>
      <c r="Y577" s="39"/>
      <c r="Z577" s="39"/>
      <c r="AA577" s="39"/>
      <c r="AB577" s="39"/>
      <c r="AC577" s="277" t="s">
        <v>166</v>
      </c>
      <c r="AD577" s="278" t="s">
        <v>167</v>
      </c>
      <c r="AE577" s="40">
        <f>ROUND((((X576*E576)/1800)*0.13),4)</f>
        <v>1.32E-2</v>
      </c>
      <c r="AF577" s="40">
        <f>ROUND(((Z576+AA576+AB576)*0.13),4)</f>
        <v>1.419</v>
      </c>
      <c r="AG577" s="288"/>
      <c r="AH577" s="288"/>
      <c r="AI577" s="288"/>
      <c r="AJ577" s="288"/>
    </row>
    <row r="578" spans="1:36" s="61" customFormat="1" ht="15" customHeight="1" x14ac:dyDescent="0.25">
      <c r="A578" s="290"/>
      <c r="B578" s="1634"/>
      <c r="C578" s="283"/>
      <c r="D578" s="283"/>
      <c r="E578" s="39"/>
      <c r="F578" s="39"/>
      <c r="G578" s="39"/>
      <c r="H578" s="39"/>
      <c r="I578" s="39"/>
      <c r="J578" s="39"/>
      <c r="K578" s="39"/>
      <c r="L578" s="40">
        <v>0.51</v>
      </c>
      <c r="M578" s="40">
        <v>0.63</v>
      </c>
      <c r="N578" s="39"/>
      <c r="O578" s="39"/>
      <c r="P578" s="39"/>
      <c r="Q578" s="39"/>
      <c r="R578" s="39"/>
      <c r="S578" s="284">
        <v>0.25</v>
      </c>
      <c r="T578" s="38">
        <f>ROUND((L578*I576+1.3*L578*K576+S578*H576),4)</f>
        <v>2399.0459999999998</v>
      </c>
      <c r="U578" s="38">
        <f>ROUND((M578*0.9*I576+1.3*M578*0.9*K576+S578*H576),4)</f>
        <v>2665.4982</v>
      </c>
      <c r="V578" s="38">
        <f>ROUND((M578*I576+1.3*M578*K576+S578*H576),4)</f>
        <v>2959.998</v>
      </c>
      <c r="W578" s="38">
        <f>ROUND((L578*J576+1.3*L578*N576+S578*G576),4)</f>
        <v>15.27</v>
      </c>
      <c r="X578" s="38">
        <f>ROUND((M578*0.9*J576+1.3*M578*0.9*N576+S578*G576),4)</f>
        <v>16.809000000000001</v>
      </c>
      <c r="Y578" s="38">
        <f>ROUND((M578*J576+1.3*M578*N576+S578*G576),4)</f>
        <v>18.510000000000002</v>
      </c>
      <c r="Z578" s="276">
        <f>ROUND((P576*T578*F576*O576/1000000),4)</f>
        <v>0.43180000000000002</v>
      </c>
      <c r="AA578" s="276">
        <f>ROUND((Q576*U578*F576*O576/1000000),4)</f>
        <v>0.2399</v>
      </c>
      <c r="AB578" s="276">
        <f>ROUND((R576*V578*F576*O576/1000000),4)</f>
        <v>0.26640000000000003</v>
      </c>
      <c r="AC578" s="277" t="s">
        <v>547</v>
      </c>
      <c r="AD578" s="278" t="s">
        <v>169</v>
      </c>
      <c r="AE578" s="40">
        <f>ROUND((((X578*E576)/1800)),4)</f>
        <v>9.2999999999999992E-3</v>
      </c>
      <c r="AF578" s="40">
        <f>ROUND(((Z578+AA578+AB578)),5)</f>
        <v>0.93810000000000004</v>
      </c>
      <c r="AG578" s="288"/>
      <c r="AH578" s="288"/>
      <c r="AI578" s="288"/>
      <c r="AJ578" s="288"/>
    </row>
    <row r="579" spans="1:36" s="61" customFormat="1" ht="15" customHeight="1" x14ac:dyDescent="0.25">
      <c r="A579" s="290"/>
      <c r="B579" s="280"/>
      <c r="C579" s="39"/>
      <c r="D579" s="39"/>
      <c r="E579" s="39"/>
      <c r="F579" s="39"/>
      <c r="G579" s="39"/>
      <c r="H579" s="39"/>
      <c r="I579" s="39"/>
      <c r="J579" s="39"/>
      <c r="K579" s="39"/>
      <c r="L579" s="40">
        <v>1.1399999999999999</v>
      </c>
      <c r="M579" s="40">
        <v>1.37</v>
      </c>
      <c r="N579" s="39"/>
      <c r="O579" s="39"/>
      <c r="P579" s="39"/>
      <c r="Q579" s="39"/>
      <c r="R579" s="39"/>
      <c r="S579" s="285">
        <v>0.79</v>
      </c>
      <c r="T579" s="38">
        <f>ROUND((L579*I576+1.3*L579*K576+S579*H576),4)</f>
        <v>5376.4440000000004</v>
      </c>
      <c r="U579" s="38">
        <f>ROUND((M579*0.9*I576+1.3*M579*0.9*K576+S579*H576),4)</f>
        <v>5811.1818000000003</v>
      </c>
      <c r="V579" s="38">
        <f>ROUND((M579*I576+1.3*M579*K576+S579*H576),4)</f>
        <v>6451.6019999999999</v>
      </c>
      <c r="W579" s="38">
        <f>ROUND((L579*J576+1.3*L579*N576+S579*G576),4)</f>
        <v>35.520000000000003</v>
      </c>
      <c r="X579" s="38">
        <f>ROUND((M579*0.9*J576+1.3*M579*0.9*N576+S579*G576),4)</f>
        <v>38.030999999999999</v>
      </c>
      <c r="Y579" s="38">
        <f>ROUND((M579*J576+1.3*N576+S579*G576),4)</f>
        <v>36.92</v>
      </c>
      <c r="Z579" s="276">
        <f>ROUND((P576*T579*F576*O576/1000000),4)</f>
        <v>0.96779999999999999</v>
      </c>
      <c r="AA579" s="276">
        <f>ROUND((Q576*U579*F576*O576/1000000),4)</f>
        <v>0.52300000000000002</v>
      </c>
      <c r="AB579" s="276">
        <f>ROUND((R576*V579*F576*O576/1000000),4)</f>
        <v>0.5806</v>
      </c>
      <c r="AC579" s="277" t="s">
        <v>548</v>
      </c>
      <c r="AD579" s="278" t="s">
        <v>549</v>
      </c>
      <c r="AE579" s="40">
        <f>ROUND((((X579*E576)/1800)),4)</f>
        <v>2.1100000000000001E-2</v>
      </c>
      <c r="AF579" s="40">
        <f>ROUND(((Z579+AA579+AB579)),4)</f>
        <v>2.0714000000000001</v>
      </c>
      <c r="AG579" s="288"/>
      <c r="AH579" s="288"/>
      <c r="AI579" s="288"/>
      <c r="AJ579" s="288"/>
    </row>
    <row r="580" spans="1:36" s="61" customFormat="1" ht="15" customHeight="1" x14ac:dyDescent="0.25">
      <c r="A580" s="290"/>
      <c r="B580" s="280"/>
      <c r="C580" s="39"/>
      <c r="D580" s="39"/>
      <c r="E580" s="39"/>
      <c r="F580" s="39"/>
      <c r="G580" s="39"/>
      <c r="H580" s="39"/>
      <c r="I580" s="39"/>
      <c r="J580" s="39"/>
      <c r="K580" s="39"/>
      <c r="L580" s="40">
        <v>0.72</v>
      </c>
      <c r="M580" s="40">
        <v>1.08</v>
      </c>
      <c r="N580" s="39"/>
      <c r="O580" s="39"/>
      <c r="P580" s="39"/>
      <c r="Q580" s="39"/>
      <c r="R580" s="39"/>
      <c r="S580" s="285">
        <v>0.17</v>
      </c>
      <c r="T580" s="38">
        <f>ROUND((L580*I576+1.3*L580*K576+S580*H576),4)</f>
        <v>3375.9119999999998</v>
      </c>
      <c r="U580" s="38">
        <f>ROUND((M580*0.9*I576+1.3*M580*0.9*K576+S580*H576),4)</f>
        <v>4553.9111999999996</v>
      </c>
      <c r="V580" s="38">
        <f>ROUND((M580*I576+1.3*M580*K576+S580*H576),4)</f>
        <v>5058.768</v>
      </c>
      <c r="W580" s="38">
        <f>ROUND((L580*J576+1.3*L580*N576+S580*G576),4)</f>
        <v>20.46</v>
      </c>
      <c r="X580" s="38">
        <f>ROUND((M580*0.9*J576+1.3*M580*0.9*N576+S580*G576),4)</f>
        <v>27.263999999999999</v>
      </c>
      <c r="Y580" s="38">
        <f>ROUND((M580*J576+1.3*M580*N576+S580*G576),4)</f>
        <v>30.18</v>
      </c>
      <c r="Z580" s="276">
        <f>ROUND((P576*T580*F576*O576/1000000),4)</f>
        <v>0.60770000000000002</v>
      </c>
      <c r="AA580" s="276">
        <f>ROUND((Q576*U580*F576*O576/1000000),4)</f>
        <v>0.40989999999999999</v>
      </c>
      <c r="AB580" s="276">
        <f>ROUND((R576*V580*F576*O576/1000000),4)</f>
        <v>0.45529999999999998</v>
      </c>
      <c r="AC580" s="277" t="s">
        <v>172</v>
      </c>
      <c r="AD580" s="278" t="s">
        <v>173</v>
      </c>
      <c r="AE580" s="40">
        <f>ROUND((((X580*E576)/1800)),4)</f>
        <v>1.5100000000000001E-2</v>
      </c>
      <c r="AF580" s="40">
        <f>ROUND(((Z580+AA580+AB580)),4)</f>
        <v>1.4729000000000001</v>
      </c>
      <c r="AG580" s="288"/>
      <c r="AH580" s="288"/>
      <c r="AI580" s="288"/>
      <c r="AJ580" s="288"/>
    </row>
    <row r="581" spans="1:36" s="61" customFormat="1" ht="15" customHeight="1" x14ac:dyDescent="0.25">
      <c r="A581" s="290"/>
      <c r="B581" s="286"/>
      <c r="C581" s="119"/>
      <c r="D581" s="119"/>
      <c r="E581" s="119"/>
      <c r="F581" s="119"/>
      <c r="G581" s="119"/>
      <c r="H581" s="119"/>
      <c r="I581" s="119"/>
      <c r="J581" s="119"/>
      <c r="K581" s="119"/>
      <c r="L581" s="40">
        <v>3.37</v>
      </c>
      <c r="M581" s="40">
        <v>4.1100000000000003</v>
      </c>
      <c r="N581" s="119"/>
      <c r="O581" s="119"/>
      <c r="P581" s="119"/>
      <c r="Q581" s="119"/>
      <c r="R581" s="119"/>
      <c r="S581" s="285">
        <v>6.31</v>
      </c>
      <c r="T581" s="38">
        <f>ROUND((L581*I576+1.3*L581*K576+S581*H576),4)</f>
        <v>16132.002</v>
      </c>
      <c r="U581" s="38">
        <f>ROUND((M581*0.9*I576+1.3*M581*0.9*K576+S581*H576),4)</f>
        <v>17669.945400000001</v>
      </c>
      <c r="V581" s="38">
        <f>ROUND((M581*I576+1.3*M581*K576+S581*H576),4)</f>
        <v>19591.205999999998</v>
      </c>
      <c r="W581" s="38">
        <f>ROUND((L581*J576+1.3*L581*N576+S581*G576),4)</f>
        <v>128.85</v>
      </c>
      <c r="X581" s="38">
        <f>ROUND((M581*0.9*J576+1.3*M581*0.9*N576+S581*G576),4)</f>
        <v>137.733</v>
      </c>
      <c r="Y581" s="38">
        <f>ROUND((M581*J576+1.3*M581*N576+S581*G576),4)</f>
        <v>148.83000000000001</v>
      </c>
      <c r="Z581" s="276">
        <f>ROUND((P576*T581*F576*O576/1000000),4)</f>
        <v>2.9037999999999999</v>
      </c>
      <c r="AA581" s="276">
        <f>ROUND((Q576*U581*F576*O576/1000000),4)</f>
        <v>1.5903</v>
      </c>
      <c r="AB581" s="276">
        <f>ROUND((R576*V581*F576*O576/1000000),4)</f>
        <v>1.7632000000000001</v>
      </c>
      <c r="AC581" s="277" t="s">
        <v>157</v>
      </c>
      <c r="AD581" s="278" t="s">
        <v>153</v>
      </c>
      <c r="AE581" s="40">
        <f>ROUND((((X581*E576)/1800)),4)</f>
        <v>7.6499999999999999E-2</v>
      </c>
      <c r="AF581" s="40">
        <f>ROUND(((Z581+AA581+AB581)),4)</f>
        <v>6.2572999999999999</v>
      </c>
      <c r="AG581" s="288"/>
      <c r="AH581" s="288"/>
      <c r="AI581" s="288"/>
      <c r="AJ581" s="288"/>
    </row>
    <row r="582" spans="1:36" s="61" customFormat="1" ht="15" customHeight="1" x14ac:dyDescent="0.25">
      <c r="A582" s="39"/>
      <c r="B582" s="287" t="s">
        <v>578</v>
      </c>
      <c r="C582" s="274">
        <v>3</v>
      </c>
      <c r="D582" s="38" t="s">
        <v>579</v>
      </c>
      <c r="E582" s="38">
        <v>1</v>
      </c>
      <c r="F582" s="38">
        <v>12</v>
      </c>
      <c r="G582" s="38">
        <v>6</v>
      </c>
      <c r="H582" s="38">
        <v>60</v>
      </c>
      <c r="I582" s="38">
        <f>(8-1-0.75*2)*60*F582-K582-8*0.12*60</f>
        <v>1328.4</v>
      </c>
      <c r="J582" s="38">
        <v>14</v>
      </c>
      <c r="K582" s="38">
        <f>(8-1-0.75*2)*0.65*60*F582</f>
        <v>2574</v>
      </c>
      <c r="L582" s="38">
        <v>1.49</v>
      </c>
      <c r="M582" s="38">
        <v>1.49</v>
      </c>
      <c r="N582" s="38">
        <v>10</v>
      </c>
      <c r="O582" s="38">
        <f>E582/F582</f>
        <v>8.3333333333333329E-2</v>
      </c>
      <c r="P582" s="38">
        <v>180</v>
      </c>
      <c r="Q582" s="38">
        <v>90</v>
      </c>
      <c r="R582" s="275">
        <v>90</v>
      </c>
      <c r="S582" s="275">
        <v>0.28999999999999998</v>
      </c>
      <c r="T582" s="38">
        <f>ROUND((L582*I582+1.3*L582*K582+S582*H582),4)</f>
        <v>6982.5540000000001</v>
      </c>
      <c r="U582" s="38">
        <f>ROUND((M582*I582+1.3*M582*K582+S582*H582),4)</f>
        <v>6982.5540000000001</v>
      </c>
      <c r="V582" s="38">
        <f>ROUND((M582*I582+1.3*M582*K582+S582*H582),4)</f>
        <v>6982.5540000000001</v>
      </c>
      <c r="W582" s="38">
        <f>ROUND((L582*J582+1.3*L582*N582+S582*G582),4)</f>
        <v>41.97</v>
      </c>
      <c r="X582" s="38">
        <f>ROUND((M582*J582+1.3*M582*N582+S582*G582),4)</f>
        <v>41.97</v>
      </c>
      <c r="Y582" s="38">
        <f>ROUND((M582*J582+1.3*M582*N582+S582*G582),4)</f>
        <v>41.97</v>
      </c>
      <c r="Z582" s="276">
        <f>ROUND((P582*T582*F582*O582/1000000),4)</f>
        <v>1.2568999999999999</v>
      </c>
      <c r="AA582" s="276">
        <f>ROUND((Q582*U582*F582*O582/1000000),4)</f>
        <v>0.62839999999999996</v>
      </c>
      <c r="AB582" s="276">
        <f>ROUND((R582*V582*F582*O582/1000000),4)</f>
        <v>0.62839999999999996</v>
      </c>
      <c r="AC582" s="277" t="s">
        <v>165</v>
      </c>
      <c r="AD582" s="278" t="s">
        <v>144</v>
      </c>
      <c r="AE582" s="40">
        <f>ROUND((((X582*E582)/1800)*0.8),4)</f>
        <v>1.8700000000000001E-2</v>
      </c>
      <c r="AF582" s="40">
        <f>ROUND(((Z582+AA582+AB582)*0.8),4)</f>
        <v>2.0110000000000001</v>
      </c>
      <c r="AG582" s="288"/>
      <c r="AH582" s="288"/>
      <c r="AI582" s="288"/>
      <c r="AJ582" s="288"/>
    </row>
    <row r="583" spans="1:36" s="61" customFormat="1" ht="15" customHeight="1" x14ac:dyDescent="0.25">
      <c r="A583" s="39"/>
      <c r="B583" s="1634" t="s">
        <v>580</v>
      </c>
      <c r="C583" s="39"/>
      <c r="D583" s="39"/>
      <c r="E583" s="39"/>
      <c r="F583" s="39"/>
      <c r="G583" s="39"/>
      <c r="H583" s="39"/>
      <c r="I583" s="39"/>
      <c r="J583" s="39"/>
      <c r="K583" s="39"/>
      <c r="L583" s="119"/>
      <c r="M583" s="119"/>
      <c r="N583" s="39"/>
      <c r="O583" s="39"/>
      <c r="P583" s="39"/>
      <c r="Q583" s="39"/>
      <c r="R583" s="39"/>
      <c r="S583" s="281"/>
      <c r="T583" s="39"/>
      <c r="U583" s="39"/>
      <c r="V583" s="39"/>
      <c r="W583" s="39"/>
      <c r="X583" s="39"/>
      <c r="Y583" s="39"/>
      <c r="Z583" s="39"/>
      <c r="AA583" s="39"/>
      <c r="AB583" s="39"/>
      <c r="AC583" s="277" t="s">
        <v>166</v>
      </c>
      <c r="AD583" s="278" t="s">
        <v>167</v>
      </c>
      <c r="AE583" s="40">
        <f>ROUND((((X582*E582)/1800)*0.13),4)</f>
        <v>3.0000000000000001E-3</v>
      </c>
      <c r="AF583" s="40">
        <f>ROUND(((Z582+AA582+AB582)*0.13),4)</f>
        <v>0.32679999999999998</v>
      </c>
      <c r="AG583" s="288"/>
      <c r="AH583" s="288"/>
      <c r="AI583" s="288"/>
      <c r="AJ583" s="288"/>
    </row>
    <row r="584" spans="1:36" s="61" customFormat="1" ht="15" customHeight="1" x14ac:dyDescent="0.25">
      <c r="A584" s="39"/>
      <c r="B584" s="1634"/>
      <c r="C584" s="283"/>
      <c r="D584" s="283"/>
      <c r="E584" s="39"/>
      <c r="F584" s="39"/>
      <c r="G584" s="39"/>
      <c r="H584" s="39"/>
      <c r="I584" s="39"/>
      <c r="J584" s="39"/>
      <c r="K584" s="39"/>
      <c r="L584" s="40">
        <v>0.12</v>
      </c>
      <c r="M584" s="40">
        <v>0.15</v>
      </c>
      <c r="N584" s="39"/>
      <c r="O584" s="39"/>
      <c r="P584" s="39"/>
      <c r="Q584" s="39"/>
      <c r="R584" s="39"/>
      <c r="S584" s="284">
        <v>5.8000000000000003E-2</v>
      </c>
      <c r="T584" s="38">
        <f>ROUND((L584*I582+1.3*L584*K582+S584*H582),4)</f>
        <v>564.43200000000002</v>
      </c>
      <c r="U584" s="38">
        <f>ROUND((M584*0.9*I582+1.3*M584*0.9*K582+S584*H582),4)</f>
        <v>634.55100000000004</v>
      </c>
      <c r="V584" s="38">
        <f>ROUND((M584*I582+1.3*M584*K582+S584*H582),4)</f>
        <v>704.67</v>
      </c>
      <c r="W584" s="38">
        <f>ROUND((L584*J582+1.3*L584*N582+S584*G582),4)</f>
        <v>3.5880000000000001</v>
      </c>
      <c r="X584" s="38">
        <f>ROUND((M584*0.9*J582+1.3*M584*0.9*N582+S584*G582),4)</f>
        <v>3.9929999999999999</v>
      </c>
      <c r="Y584" s="38">
        <f>ROUND((M584*J582+1.3*M584*N582+S584*G582),4)</f>
        <v>4.3979999999999997</v>
      </c>
      <c r="Z584" s="276">
        <f>ROUND((P582*T584*F582*O582/1000000),4)</f>
        <v>0.1016</v>
      </c>
      <c r="AA584" s="276">
        <f>ROUND((Q582*U584*F582*O582/1000000),4)</f>
        <v>5.7099999999999998E-2</v>
      </c>
      <c r="AB584" s="276">
        <f>ROUND((R582*V584*F582*O582/1000000),4)</f>
        <v>6.3399999999999998E-2</v>
      </c>
      <c r="AC584" s="277" t="s">
        <v>547</v>
      </c>
      <c r="AD584" s="278" t="s">
        <v>169</v>
      </c>
      <c r="AE584" s="40">
        <f>ROUND((((X584*E582)/1800)),4)</f>
        <v>2.2000000000000001E-3</v>
      </c>
      <c r="AF584" s="40">
        <f>ROUND(((Z584+AA584+AB584)),5)</f>
        <v>0.22209999999999999</v>
      </c>
      <c r="AG584" s="288"/>
      <c r="AH584" s="288"/>
      <c r="AI584" s="288"/>
      <c r="AJ584" s="288"/>
    </row>
    <row r="585" spans="1:36" s="61" customFormat="1" ht="15" customHeight="1" x14ac:dyDescent="0.25">
      <c r="A585" s="39"/>
      <c r="B585" s="288"/>
      <c r="C585" s="39"/>
      <c r="D585" s="39"/>
      <c r="E585" s="39"/>
      <c r="F585" s="39"/>
      <c r="G585" s="39"/>
      <c r="H585" s="39"/>
      <c r="I585" s="39"/>
      <c r="J585" s="39"/>
      <c r="K585" s="39"/>
      <c r="L585" s="40">
        <v>0.26</v>
      </c>
      <c r="M585" s="40">
        <v>0.31</v>
      </c>
      <c r="N585" s="39"/>
      <c r="O585" s="39"/>
      <c r="P585" s="39"/>
      <c r="Q585" s="39"/>
      <c r="R585" s="39"/>
      <c r="S585" s="285">
        <v>0.18</v>
      </c>
      <c r="T585" s="38">
        <f>ROUND((L585*I582+1.3*L585*K582+S585*H582),4)</f>
        <v>1226.1959999999999</v>
      </c>
      <c r="U585" s="38">
        <f>ROUND((M585*0.9*I582+1.3*M585*0.9*K582+S585*H582),4)</f>
        <v>1315.0134</v>
      </c>
      <c r="V585" s="38">
        <f>ROUND((M585*I582+1.3*M585*K582+S585*H582),4)</f>
        <v>1459.9259999999999</v>
      </c>
      <c r="W585" s="38">
        <f>ROUND((L585*J582+1.3*L585*N582+S585*G582),4)</f>
        <v>8.1</v>
      </c>
      <c r="X585" s="38">
        <f>ROUND((M585*0.9*J582+1.3*M585*0.9*N582+S585*G582),4)</f>
        <v>8.6129999999999995</v>
      </c>
      <c r="Y585" s="38">
        <f>ROUND((M585*J582+1.3*N582+S585*G582),4)</f>
        <v>18.420000000000002</v>
      </c>
      <c r="Z585" s="276">
        <f>ROUND((P582*T585*F582*O582/1000000),4)</f>
        <v>0.22070000000000001</v>
      </c>
      <c r="AA585" s="276">
        <f>ROUND((Q582*U585*F582*O582/1000000),4)</f>
        <v>0.11840000000000001</v>
      </c>
      <c r="AB585" s="276">
        <f>ROUND((R582*V585*F582*O582/1000000),4)</f>
        <v>0.13139999999999999</v>
      </c>
      <c r="AC585" s="277" t="s">
        <v>548</v>
      </c>
      <c r="AD585" s="278" t="s">
        <v>549</v>
      </c>
      <c r="AE585" s="40">
        <f>ROUND((((X585*E582)/1800)),4)</f>
        <v>4.7999999999999996E-3</v>
      </c>
      <c r="AF585" s="40">
        <f>ROUND(((Z585+AA585+AB585)),4)</f>
        <v>0.47049999999999997</v>
      </c>
      <c r="AG585" s="288"/>
      <c r="AH585" s="288"/>
      <c r="AI585" s="288"/>
      <c r="AJ585" s="288"/>
    </row>
    <row r="586" spans="1:36" s="61" customFormat="1" ht="15" customHeight="1" x14ac:dyDescent="0.25">
      <c r="A586" s="39"/>
      <c r="B586" s="280"/>
      <c r="C586" s="39"/>
      <c r="D586" s="39"/>
      <c r="E586" s="39"/>
      <c r="F586" s="39"/>
      <c r="G586" s="39"/>
      <c r="H586" s="39"/>
      <c r="I586" s="39"/>
      <c r="J586" s="39"/>
      <c r="K586" s="39"/>
      <c r="L586" s="40">
        <v>0.17</v>
      </c>
      <c r="M586" s="40">
        <v>0.25</v>
      </c>
      <c r="N586" s="39"/>
      <c r="O586" s="39"/>
      <c r="P586" s="39"/>
      <c r="Q586" s="39"/>
      <c r="R586" s="39"/>
      <c r="S586" s="285">
        <v>0.04</v>
      </c>
      <c r="T586" s="38">
        <f>ROUND((L586*I582+1.3*L586*K582+S586*H582),4)</f>
        <v>797.08199999999999</v>
      </c>
      <c r="U586" s="38">
        <f>ROUND((M586*0.9*I582+1.3*M586*0.9*K582+S586*H582),4)</f>
        <v>1054.1849999999999</v>
      </c>
      <c r="V586" s="38">
        <f>ROUND((M586*I582+1.3*M586*K582+S586*H582),4)</f>
        <v>1171.05</v>
      </c>
      <c r="W586" s="38">
        <f>ROUND((L586*J582+1.3*L586*N582+S586*G582),4)</f>
        <v>4.83</v>
      </c>
      <c r="X586" s="38">
        <f>ROUND((M586*0.9*J582+1.3*M586*0.9*N582+S586*G582),4)</f>
        <v>6.3150000000000004</v>
      </c>
      <c r="Y586" s="38">
        <f>ROUND((M586*J582+1.3*M586*N582+S586*G582),4)</f>
        <v>6.99</v>
      </c>
      <c r="Z586" s="276">
        <f>ROUND((P582*T586*F582*O582/1000000),4)</f>
        <v>0.14349999999999999</v>
      </c>
      <c r="AA586" s="276">
        <f>ROUND((Q582*U586*F582*O582/1000000),4)</f>
        <v>9.4899999999999998E-2</v>
      </c>
      <c r="AB586" s="276">
        <f>ROUND((R582*V586*F582*O582/1000000),4)</f>
        <v>0.10539999999999999</v>
      </c>
      <c r="AC586" s="277" t="s">
        <v>172</v>
      </c>
      <c r="AD586" s="278" t="s">
        <v>173</v>
      </c>
      <c r="AE586" s="40">
        <f>ROUND((((X586*E582)/1800)),4)</f>
        <v>3.5000000000000001E-3</v>
      </c>
      <c r="AF586" s="40">
        <f>ROUND(((Z586+AA586+AB586)),4)</f>
        <v>0.34379999999999999</v>
      </c>
      <c r="AG586" s="288"/>
      <c r="AH586" s="288"/>
      <c r="AI586" s="288"/>
      <c r="AJ586" s="288"/>
    </row>
    <row r="587" spans="1:36" s="61" customFormat="1" ht="15" customHeight="1" x14ac:dyDescent="0.25">
      <c r="A587" s="119"/>
      <c r="B587" s="286"/>
      <c r="C587" s="119"/>
      <c r="D587" s="119"/>
      <c r="E587" s="119"/>
      <c r="F587" s="119"/>
      <c r="G587" s="119"/>
      <c r="H587" s="119"/>
      <c r="I587" s="119"/>
      <c r="J587" s="119"/>
      <c r="K587" s="119"/>
      <c r="L587" s="40">
        <v>0.77</v>
      </c>
      <c r="M587" s="40">
        <v>0.94</v>
      </c>
      <c r="N587" s="119"/>
      <c r="O587" s="119"/>
      <c r="P587" s="119"/>
      <c r="Q587" s="119"/>
      <c r="R587" s="119"/>
      <c r="S587" s="285">
        <v>1.44</v>
      </c>
      <c r="T587" s="38">
        <f>ROUND((L587*I582+1.3*L587*K582+S587*H582),4)</f>
        <v>3685.8420000000001</v>
      </c>
      <c r="U587" s="38">
        <f>ROUND((M587*0.9*I582+1.3*M587*0.9*K582+S587*H582),4)</f>
        <v>4041.1116000000002</v>
      </c>
      <c r="V587" s="38">
        <f>ROUND((M587*I582+1.3*M587*K582+S587*H582),4)</f>
        <v>4480.5240000000003</v>
      </c>
      <c r="W587" s="38">
        <f>ROUND((L587*J582+1.3*L587*N582+S587*G582),4)</f>
        <v>29.43</v>
      </c>
      <c r="X587" s="38">
        <f>ROUND((M587*0.9*J582+1.3*M587*0.9*N582+S587*G582),4)</f>
        <v>31.481999999999999</v>
      </c>
      <c r="Y587" s="38">
        <f>ROUND((M587*J582+1.3*M587*N582+S587*G582),4)</f>
        <v>34.020000000000003</v>
      </c>
      <c r="Z587" s="276">
        <f>ROUND((P582*T587*F582*O582/1000000),4)</f>
        <v>0.66349999999999998</v>
      </c>
      <c r="AA587" s="276">
        <f>ROUND((Q582*U587*F582*O582/1000000),4)</f>
        <v>0.36370000000000002</v>
      </c>
      <c r="AB587" s="276">
        <f>ROUND((R582*V587*F582*O582/1000000),4)</f>
        <v>0.4032</v>
      </c>
      <c r="AC587" s="277" t="s">
        <v>157</v>
      </c>
      <c r="AD587" s="278" t="s">
        <v>153</v>
      </c>
      <c r="AE587" s="40">
        <f>ROUND((((X587*E582)/1800)),4)</f>
        <v>1.7500000000000002E-2</v>
      </c>
      <c r="AF587" s="40">
        <f>ROUND(((Z587+AA587+AB587)),4)</f>
        <v>1.4303999999999999</v>
      </c>
      <c r="AG587" s="288"/>
      <c r="AH587" s="288"/>
      <c r="AI587" s="288"/>
      <c r="AJ587" s="288"/>
    </row>
    <row r="588" spans="1:36" s="61" customFormat="1" ht="15" customHeight="1" x14ac:dyDescent="0.25">
      <c r="A588" s="1676" t="s">
        <v>610</v>
      </c>
      <c r="B588" s="1677"/>
      <c r="C588" s="1677"/>
      <c r="D588" s="1677"/>
      <c r="E588" s="1677"/>
      <c r="F588" s="1677"/>
      <c r="G588" s="1677"/>
      <c r="H588" s="1677"/>
      <c r="I588" s="1677"/>
      <c r="J588" s="1677"/>
      <c r="K588" s="1677"/>
      <c r="L588" s="1677"/>
      <c r="M588" s="1677"/>
      <c r="N588" s="1677"/>
      <c r="O588" s="1677"/>
      <c r="P588" s="1677"/>
      <c r="Q588" s="1677"/>
      <c r="R588" s="1677"/>
      <c r="S588" s="1678"/>
      <c r="T588" s="43">
        <f>ROUND((L588*I588+1.3*L588*K588+S588*H588),4)</f>
        <v>0</v>
      </c>
      <c r="U588" s="43">
        <f>ROUND((M588*I588+1.3*M588*K588+S588*H588),4)</f>
        <v>0</v>
      </c>
      <c r="V588" s="43">
        <f>ROUND((M588*I588+1.3*M588*K588+S588*H588),4)</f>
        <v>0</v>
      </c>
      <c r="W588" s="43">
        <f>ROUND((L588*J588+1.3*L588*N588+S588*G588),4)</f>
        <v>0</v>
      </c>
      <c r="X588" s="43">
        <f>ROUND((M588*J588+1.3*M588*N588+S588*G588),4)</f>
        <v>0</v>
      </c>
      <c r="Y588" s="43">
        <f>ROUND((M588*J588+1.3*M588*N588+S588*G588),4)</f>
        <v>0</v>
      </c>
      <c r="Z588" s="299">
        <f>ROUND((P588*T588*F588*O588/1000000),4)</f>
        <v>0</v>
      </c>
      <c r="AA588" s="299">
        <f>ROUND((Q588*U588*F588*O588/1000000),4)</f>
        <v>0</v>
      </c>
      <c r="AB588" s="299">
        <f>ROUND((R588*V588*F588*O588/1000000),4)</f>
        <v>0</v>
      </c>
      <c r="AC588" s="292" t="s">
        <v>165</v>
      </c>
      <c r="AD588" s="293" t="s">
        <v>144</v>
      </c>
      <c r="AE588" s="294">
        <f>MAX(AE396,AE402,AE408,AE414,AE420,AE426,AE432,AE438,AE444,AE450,AE486,AE492,AE498,AE504,AE510,AE516,AE522,AE540,AE552,AE558,AE564,AE570,AE576,AE582,AE456,AE462,AE468,AE474,AE480,AE528,AE534,AE546)</f>
        <v>0.38169999999999998</v>
      </c>
      <c r="AF588" s="294">
        <f>AF396+AF402+AF408+AF414+AF420+AF426+AF432+AF438+AF444+AF450+AF486+AF492+AF498+AF504+AF510+AF516+AF522+AF540+AF552+AF558+AF564+AF570+AF576+AF582+AF456+AF462+AF468+AF474+AF480+AF528+AF534+AF546</f>
        <v>282.13830000000007</v>
      </c>
      <c r="AG588" s="254"/>
      <c r="AH588" s="254"/>
    </row>
    <row r="589" spans="1:36" s="61" customFormat="1" ht="15" customHeight="1" x14ac:dyDescent="0.25">
      <c r="A589" s="1676"/>
      <c r="B589" s="1679"/>
      <c r="C589" s="1679"/>
      <c r="D589" s="1679"/>
      <c r="E589" s="1679"/>
      <c r="F589" s="1679"/>
      <c r="G589" s="1679"/>
      <c r="H589" s="1679"/>
      <c r="I589" s="1679"/>
      <c r="J589" s="1679"/>
      <c r="K589" s="1679"/>
      <c r="L589" s="1679"/>
      <c r="M589" s="1679"/>
      <c r="N589" s="1679"/>
      <c r="O589" s="1679"/>
      <c r="P589" s="1679"/>
      <c r="Q589" s="1679"/>
      <c r="R589" s="1679"/>
      <c r="S589" s="1680"/>
      <c r="T589" s="44"/>
      <c r="U589" s="44"/>
      <c r="V589" s="44"/>
      <c r="W589" s="44"/>
      <c r="X589" s="44"/>
      <c r="Y589" s="44"/>
      <c r="Z589" s="44"/>
      <c r="AA589" s="44"/>
      <c r="AB589" s="44"/>
      <c r="AC589" s="292" t="s">
        <v>166</v>
      </c>
      <c r="AD589" s="293" t="s">
        <v>167</v>
      </c>
      <c r="AE589" s="294">
        <f t="shared" ref="AE589:AE593" si="4">MAX(AE397,AE403,AE409,AE415,AE421,AE427,AE433,AE439,AE445,AE451,AE487,AE493,AE499,AE505,AE511,AE517,AE523,AE541,AE553,AE559,AE565,AE571,AE577,AE583,AE457,AE463,AE469,AE475,AE481,AE529,AE535,AE547)</f>
        <v>6.2E-2</v>
      </c>
      <c r="AF589" s="294">
        <f>AF397+AF403+AF409+AF415+AF421+AF427+AF433+AF439+AF445+AF451+AF487+AF493+AF499+AF505+AF511+AF517+AF523+AF541+AF553+AF559+AF565+AF571+AF577+AF583+AF457+AF463+AF469+AF475+AF481+AF529+AF535+AF547</f>
        <v>45.847499999999997</v>
      </c>
      <c r="AG589" s="254"/>
      <c r="AH589" s="254"/>
    </row>
    <row r="590" spans="1:36" s="61" customFormat="1" ht="15" customHeight="1" x14ac:dyDescent="0.25">
      <c r="A590" s="1676"/>
      <c r="B590" s="1679"/>
      <c r="C590" s="1679"/>
      <c r="D590" s="1679"/>
      <c r="E590" s="1679"/>
      <c r="F590" s="1679"/>
      <c r="G590" s="1679"/>
      <c r="H590" s="1679"/>
      <c r="I590" s="1679"/>
      <c r="J590" s="1679"/>
      <c r="K590" s="1679"/>
      <c r="L590" s="1679"/>
      <c r="M590" s="1679"/>
      <c r="N590" s="1679"/>
      <c r="O590" s="1679"/>
      <c r="P590" s="1679"/>
      <c r="Q590" s="1679"/>
      <c r="R590" s="1679"/>
      <c r="S590" s="1680"/>
      <c r="T590" s="43">
        <f>ROUND((L590*I588+1.3*L590*K588+S590*H588),4)</f>
        <v>0</v>
      </c>
      <c r="U590" s="43">
        <f>ROUND((M590*0.9*I588+1.3*M590*0.9*K588+S590*H588),4)</f>
        <v>0</v>
      </c>
      <c r="V590" s="43">
        <f>ROUND((M590*I588+1.3*M590*K588+S590*H588),4)</f>
        <v>0</v>
      </c>
      <c r="W590" s="43">
        <f>ROUND((L590*J588+1.3*L590*N588+S590*G588),4)</f>
        <v>0</v>
      </c>
      <c r="X590" s="43">
        <f>ROUND((M590*0.9*J588+1.3*M590*0.9*N588+S590*G588),4)</f>
        <v>0</v>
      </c>
      <c r="Y590" s="43">
        <f>ROUND((M590*J588+1.3*M590*N588+S590*G588),4)</f>
        <v>0</v>
      </c>
      <c r="Z590" s="299">
        <f>ROUND((P588*T590*F588*O588/1000000),4)</f>
        <v>0</v>
      </c>
      <c r="AA590" s="299">
        <f>ROUND((Q588*U590*F588*O588/1000000),4)</f>
        <v>0</v>
      </c>
      <c r="AB590" s="299">
        <f>ROUND((R588*V590*F588*O588/1000000),4)</f>
        <v>0</v>
      </c>
      <c r="AC590" s="292" t="s">
        <v>547</v>
      </c>
      <c r="AD590" s="293" t="s">
        <v>169</v>
      </c>
      <c r="AE590" s="294">
        <f t="shared" si="4"/>
        <v>4.36E-2</v>
      </c>
      <c r="AF590" s="294">
        <f t="shared" ref="AF590:AF593" si="5">AF398+AF404+AF410+AF416+AF422+AF428+AF434+AF440+AF446+AF452+AF488+AF494+AF500+AF506+AF512+AF518+AF524+AF542+AF554+AF560+AF566+AF572+AF578+AF584+AF458+AF464+AF470+AF476+AF482+AF530+AF536+AF548</f>
        <v>34.108499999999992</v>
      </c>
      <c r="AG590" s="254"/>
      <c r="AH590" s="254"/>
    </row>
    <row r="591" spans="1:36" s="61" customFormat="1" ht="15" customHeight="1" x14ac:dyDescent="0.25">
      <c r="A591" s="1676"/>
      <c r="B591" s="1679"/>
      <c r="C591" s="1679"/>
      <c r="D591" s="1679"/>
      <c r="E591" s="1679"/>
      <c r="F591" s="1679"/>
      <c r="G591" s="1679"/>
      <c r="H591" s="1679"/>
      <c r="I591" s="1679"/>
      <c r="J591" s="1679"/>
      <c r="K591" s="1679"/>
      <c r="L591" s="1679"/>
      <c r="M591" s="1679"/>
      <c r="N591" s="1679"/>
      <c r="O591" s="1679"/>
      <c r="P591" s="1679"/>
      <c r="Q591" s="1679"/>
      <c r="R591" s="1679"/>
      <c r="S591" s="1680"/>
      <c r="T591" s="43">
        <f>ROUND((L591*I588+1.3*L591*K588+S591*H588),4)</f>
        <v>0</v>
      </c>
      <c r="U591" s="43">
        <f>ROUND((M591*0.9*I588+1.3*M591*0.9*K588+S591*H588),4)</f>
        <v>0</v>
      </c>
      <c r="V591" s="43">
        <f>ROUND((M591*I588+1.3*M591*K588+S591*H588),4)</f>
        <v>0</v>
      </c>
      <c r="W591" s="43">
        <f>ROUND((L591*J588+1.3*L591*N588+S591*G588),4)</f>
        <v>0</v>
      </c>
      <c r="X591" s="43">
        <f>ROUND((M591*0.9*J588+1.3*M591*0.9*N588+S591*G588),4)</f>
        <v>0</v>
      </c>
      <c r="Y591" s="43">
        <f>ROUND((M591*J588+1.3*N588+S591*G588),4)</f>
        <v>0</v>
      </c>
      <c r="Z591" s="299">
        <f>ROUND((P588*T591*F588*O588/1000000),4)</f>
        <v>0</v>
      </c>
      <c r="AA591" s="299">
        <f>ROUND((Q588*U591*F588*O588/1000000),4)</f>
        <v>0</v>
      </c>
      <c r="AB591" s="299">
        <f>ROUND((R588*V591*F588*O588/1000000),4)</f>
        <v>0</v>
      </c>
      <c r="AC591" s="292" t="s">
        <v>548</v>
      </c>
      <c r="AD591" s="293" t="s">
        <v>549</v>
      </c>
      <c r="AE591" s="294">
        <f t="shared" si="4"/>
        <v>9.9500000000000005E-2</v>
      </c>
      <c r="AF591" s="294">
        <f t="shared" si="5"/>
        <v>66.882400000000004</v>
      </c>
      <c r="AG591" s="254"/>
      <c r="AH591" s="254"/>
    </row>
    <row r="592" spans="1:36" s="61" customFormat="1" ht="15" customHeight="1" x14ac:dyDescent="0.25">
      <c r="A592" s="1676"/>
      <c r="B592" s="1679"/>
      <c r="C592" s="1679"/>
      <c r="D592" s="1679"/>
      <c r="E592" s="1679"/>
      <c r="F592" s="1679"/>
      <c r="G592" s="1679"/>
      <c r="H592" s="1679"/>
      <c r="I592" s="1679"/>
      <c r="J592" s="1679"/>
      <c r="K592" s="1679"/>
      <c r="L592" s="1679"/>
      <c r="M592" s="1679"/>
      <c r="N592" s="1679"/>
      <c r="O592" s="1679"/>
      <c r="P592" s="1679"/>
      <c r="Q592" s="1679"/>
      <c r="R592" s="1679"/>
      <c r="S592" s="1680"/>
      <c r="T592" s="43">
        <f>ROUND((L592*I588+1.3*L592*K588+S592*H588),4)</f>
        <v>0</v>
      </c>
      <c r="U592" s="43">
        <f>ROUND((M592*0.9*I588+1.3*M592*0.9*K588+S592*H588),4)</f>
        <v>0</v>
      </c>
      <c r="V592" s="43">
        <f>ROUND((M592*I588+1.3*M592*K588+S592*H588),4)</f>
        <v>0</v>
      </c>
      <c r="W592" s="43">
        <f>ROUND((L592*J588+1.3*L592*N588+S592*G588),4)</f>
        <v>0</v>
      </c>
      <c r="X592" s="43">
        <f>ROUND((M592*0.9*J588+1.3*M592*0.9*N588+S592*G588),4)</f>
        <v>0</v>
      </c>
      <c r="Y592" s="43">
        <f>ROUND((M592*J588+1.3*M592*N588+S592*G588),4)</f>
        <v>0</v>
      </c>
      <c r="Z592" s="299">
        <f>ROUND((P588*T592*F588*O588/1000000),4)</f>
        <v>0</v>
      </c>
      <c r="AA592" s="299">
        <f>ROUND((Q588*U592*F588*O588/1000000),4)</f>
        <v>0</v>
      </c>
      <c r="AB592" s="299">
        <f>ROUND((R588*V592*F588*O588/1000000),4)</f>
        <v>0</v>
      </c>
      <c r="AC592" s="292" t="s">
        <v>172</v>
      </c>
      <c r="AD592" s="293" t="s">
        <v>173</v>
      </c>
      <c r="AE592" s="294">
        <f t="shared" si="4"/>
        <v>7.1499999999999994E-2</v>
      </c>
      <c r="AF592" s="294">
        <f t="shared" si="5"/>
        <v>47.614199999999975</v>
      </c>
      <c r="AG592" s="254"/>
      <c r="AH592" s="254"/>
    </row>
    <row r="593" spans="1:35" s="61" customFormat="1" ht="15" customHeight="1" x14ac:dyDescent="0.3">
      <c r="A593" s="1681"/>
      <c r="B593" s="1682"/>
      <c r="C593" s="1682"/>
      <c r="D593" s="1682"/>
      <c r="E593" s="1682"/>
      <c r="F593" s="1682"/>
      <c r="G593" s="1682"/>
      <c r="H593" s="1682"/>
      <c r="I593" s="1682"/>
      <c r="J593" s="1682"/>
      <c r="K593" s="1682"/>
      <c r="L593" s="1682"/>
      <c r="M593" s="1682"/>
      <c r="N593" s="1682"/>
      <c r="O593" s="1682"/>
      <c r="P593" s="1682"/>
      <c r="Q593" s="1682"/>
      <c r="R593" s="1682"/>
      <c r="S593" s="1683"/>
      <c r="T593" s="43">
        <f>ROUND((L593*I588+1.3*L593*K588+S593*H588),4)</f>
        <v>0</v>
      </c>
      <c r="U593" s="43">
        <f>ROUND((M593*0.9*I588+1.3*M593*0.9*K588+S593*H588),4)</f>
        <v>0</v>
      </c>
      <c r="V593" s="43">
        <f>ROUND((M593*I588+1.3*M593*K588+S593*H588),4)</f>
        <v>0</v>
      </c>
      <c r="W593" s="43">
        <f>ROUND((L593*J588+1.3*L593*N588+S593*G588),4)</f>
        <v>0</v>
      </c>
      <c r="X593" s="43">
        <f>ROUND((M593*0.9*J588+1.3*M593*0.9*N588+S593*G588),4)</f>
        <v>0</v>
      </c>
      <c r="Y593" s="43">
        <f>ROUND((M593*J588+1.3*M593*N588+S593*G588),4)</f>
        <v>0</v>
      </c>
      <c r="Z593" s="299">
        <f>ROUND((P588*T593*F588*O588/1000000),4)</f>
        <v>0</v>
      </c>
      <c r="AA593" s="299">
        <f>ROUND((Q588*U593*F588*O588/1000000),4)</f>
        <v>0</v>
      </c>
      <c r="AB593" s="299">
        <f>ROUND((R588*V593*F588*O588/1000000),4)</f>
        <v>0</v>
      </c>
      <c r="AC593" s="292" t="s">
        <v>157</v>
      </c>
      <c r="AD593" s="293" t="s">
        <v>153</v>
      </c>
      <c r="AE593" s="294">
        <f t="shared" si="4"/>
        <v>0.36120000000000002</v>
      </c>
      <c r="AF593" s="294">
        <f t="shared" si="5"/>
        <v>201.28839999999991</v>
      </c>
      <c r="AG593" s="565">
        <f>SUM(AE588:AE593)</f>
        <v>1.0195000000000001</v>
      </c>
      <c r="AH593" s="173">
        <f>SUM(AF588:AF593)</f>
        <v>677.87929999999994</v>
      </c>
      <c r="AI593" s="577">
        <v>2028</v>
      </c>
    </row>
    <row r="594" spans="1:35" s="61" customFormat="1" ht="15" customHeight="1" x14ac:dyDescent="0.25">
      <c r="A594" s="1673" t="s">
        <v>63</v>
      </c>
      <c r="B594" s="1674"/>
      <c r="C594" s="1674"/>
      <c r="D594" s="1674"/>
      <c r="E594" s="1674"/>
      <c r="F594" s="1674"/>
      <c r="G594" s="1674"/>
      <c r="H594" s="1674"/>
      <c r="I594" s="1674"/>
      <c r="J594" s="1674"/>
      <c r="K594" s="1674"/>
      <c r="L594" s="1674"/>
      <c r="M594" s="1674"/>
      <c r="N594" s="1674"/>
      <c r="O594" s="1674"/>
      <c r="P594" s="1674"/>
      <c r="Q594" s="1674"/>
      <c r="R594" s="1674"/>
      <c r="S594" s="1674"/>
      <c r="T594" s="1674"/>
      <c r="U594" s="1674"/>
      <c r="V594" s="1674"/>
      <c r="W594" s="1674"/>
      <c r="X594" s="1674"/>
      <c r="Y594" s="1674"/>
      <c r="Z594" s="1674"/>
      <c r="AA594" s="1674"/>
      <c r="AB594" s="1674"/>
      <c r="AC594" s="1674"/>
      <c r="AD594" s="1674"/>
      <c r="AE594" s="1674"/>
      <c r="AF594" s="1675"/>
      <c r="AG594" s="254"/>
      <c r="AH594" s="254"/>
    </row>
    <row r="595" spans="1:35" s="61" customFormat="1" ht="15" customHeight="1" x14ac:dyDescent="0.25">
      <c r="A595" s="38">
        <v>7122</v>
      </c>
      <c r="B595" s="274" t="s">
        <v>544</v>
      </c>
      <c r="C595" s="38">
        <v>4</v>
      </c>
      <c r="D595" s="38" t="s">
        <v>545</v>
      </c>
      <c r="E595" s="38">
        <v>1</v>
      </c>
      <c r="F595" s="38">
        <v>4</v>
      </c>
      <c r="G595" s="38">
        <v>6</v>
      </c>
      <c r="H595" s="38">
        <v>60</v>
      </c>
      <c r="I595" s="38">
        <f>(8-1-0.75*2)*60*F595-K595-8*0.12*60</f>
        <v>404.4</v>
      </c>
      <c r="J595" s="38">
        <v>14</v>
      </c>
      <c r="K595" s="38">
        <f>(8-1-0.75*2)*0.65*60*F595</f>
        <v>858</v>
      </c>
      <c r="L595" s="38">
        <v>2.4700000000000002</v>
      </c>
      <c r="M595" s="38">
        <v>2.4700000000000002</v>
      </c>
      <c r="N595" s="38">
        <v>10</v>
      </c>
      <c r="O595" s="38">
        <f>E595/F595</f>
        <v>0.25</v>
      </c>
      <c r="P595" s="38">
        <v>0</v>
      </c>
      <c r="Q595" s="38">
        <v>30</v>
      </c>
      <c r="R595" s="275">
        <v>60</v>
      </c>
      <c r="S595" s="38">
        <v>0.48</v>
      </c>
      <c r="T595" s="38">
        <f>ROUND((L595*I595+1.3*L595*K595+S595*H595),4)</f>
        <v>3782.7060000000001</v>
      </c>
      <c r="U595" s="38">
        <f>ROUND((M595*I595+1.3*M595*K595+S595*H595),4)</f>
        <v>3782.7060000000001</v>
      </c>
      <c r="V595" s="38">
        <f>ROUND((M595*I595+1.3*M595*K595+S595*H595),4)</f>
        <v>3782.7060000000001</v>
      </c>
      <c r="W595" s="38">
        <f>ROUND((L595*J595+1.3*L595*N595+S595*G595),4)</f>
        <v>69.569999999999993</v>
      </c>
      <c r="X595" s="38">
        <f>ROUND((M595*J595+1.3*M595*N595+S595*G595),4)</f>
        <v>69.569999999999993</v>
      </c>
      <c r="Y595" s="38">
        <f>ROUND((M595*J595+1.3*M595*N595+S595*G595),4)</f>
        <v>69.569999999999993</v>
      </c>
      <c r="Z595" s="276">
        <f>ROUND((P595*T595*F595*O595/1000000),4)</f>
        <v>0</v>
      </c>
      <c r="AA595" s="276">
        <f>ROUND((Q595*U595*F595*O595/1000000),4)</f>
        <v>0.1135</v>
      </c>
      <c r="AB595" s="276">
        <f>ROUND((R595*V595*F595*O595/1000000),4)</f>
        <v>0.22700000000000001</v>
      </c>
      <c r="AC595" s="277" t="s">
        <v>165</v>
      </c>
      <c r="AD595" s="278" t="s">
        <v>144</v>
      </c>
      <c r="AE595" s="40">
        <f>ROUND((((X595*E595)/1800)*0.8),4)</f>
        <v>3.09E-2</v>
      </c>
      <c r="AF595" s="40">
        <f>ROUND(((Z595+AA595+AB595)*0.8),4)</f>
        <v>0.27239999999999998</v>
      </c>
      <c r="AG595" s="254"/>
      <c r="AH595" s="254"/>
    </row>
    <row r="596" spans="1:35" s="61" customFormat="1" ht="15" customHeight="1" x14ac:dyDescent="0.25">
      <c r="A596" s="260"/>
      <c r="B596" s="1634" t="s">
        <v>546</v>
      </c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296"/>
      <c r="T596" s="39"/>
      <c r="U596" s="39"/>
      <c r="V596" s="39"/>
      <c r="W596" s="39"/>
      <c r="X596" s="39"/>
      <c r="Y596" s="39"/>
      <c r="Z596" s="39"/>
      <c r="AA596" s="39"/>
      <c r="AB596" s="39"/>
      <c r="AC596" s="277" t="s">
        <v>166</v>
      </c>
      <c r="AD596" s="278" t="s">
        <v>167</v>
      </c>
      <c r="AE596" s="40">
        <f>ROUND((((X595*E595)/1800)*0.13),4)</f>
        <v>5.0000000000000001E-3</v>
      </c>
      <c r="AF596" s="40">
        <f>ROUND(((Z595+AA595+AB595)*0.13),4)</f>
        <v>4.4299999999999999E-2</v>
      </c>
      <c r="AG596" s="254"/>
      <c r="AH596" s="254"/>
    </row>
    <row r="597" spans="1:35" s="61" customFormat="1" ht="15" customHeight="1" x14ac:dyDescent="0.25">
      <c r="A597" s="260"/>
      <c r="B597" s="1634"/>
      <c r="C597" s="283"/>
      <c r="D597" s="283"/>
      <c r="E597" s="39"/>
      <c r="F597" s="39"/>
      <c r="G597" s="39"/>
      <c r="H597" s="39"/>
      <c r="I597" s="39"/>
      <c r="J597" s="39"/>
      <c r="K597" s="39"/>
      <c r="L597" s="39">
        <v>0.19</v>
      </c>
      <c r="M597" s="39">
        <v>0.23</v>
      </c>
      <c r="N597" s="39"/>
      <c r="O597" s="39"/>
      <c r="P597" s="39"/>
      <c r="Q597" s="39"/>
      <c r="R597" s="39"/>
      <c r="S597" s="42">
        <v>9.7000000000000003E-2</v>
      </c>
      <c r="T597" s="38">
        <f>ROUND((L597*I595+1.3*L597*K595+S597*H595),4)</f>
        <v>294.58199999999999</v>
      </c>
      <c r="U597" s="38">
        <f>ROUND((M597*0.9*I595+1.3*M597*0.9*K595+S597*H595),4)</f>
        <v>320.41860000000003</v>
      </c>
      <c r="V597" s="38">
        <f>ROUND((M597*I595+1.3*M597*K595+S597*H595),4)</f>
        <v>355.37400000000002</v>
      </c>
      <c r="W597" s="38">
        <f>ROUND((L597*J595+1.3*L597*N595+S597*G595),4)</f>
        <v>5.7119999999999997</v>
      </c>
      <c r="X597" s="38">
        <f>ROUND((M597*0.9*J595+1.3*M597*0.9*N595+S597*G595),4)</f>
        <v>6.1710000000000003</v>
      </c>
      <c r="Y597" s="38">
        <f>ROUND((M597*J595+1.3*M597*N595+S597*G595),4)</f>
        <v>6.7919999999999998</v>
      </c>
      <c r="Z597" s="276">
        <f>ROUND((P595*T597*F595*O595/1000000),4)</f>
        <v>0</v>
      </c>
      <c r="AA597" s="276">
        <f>ROUND((Q595*U597*F595*O595/1000000),4)</f>
        <v>9.5999999999999992E-3</v>
      </c>
      <c r="AB597" s="276">
        <f>ROUND((R595*V597*F595*O595/1000000),4)</f>
        <v>2.1299999999999999E-2</v>
      </c>
      <c r="AC597" s="277" t="s">
        <v>547</v>
      </c>
      <c r="AD597" s="278" t="s">
        <v>169</v>
      </c>
      <c r="AE597" s="40">
        <f>ROUND((((X597*E595)/1800)),4)</f>
        <v>3.3999999999999998E-3</v>
      </c>
      <c r="AF597" s="40">
        <f>ROUND(((Z597+AA597+AB597)),5)</f>
        <v>3.09E-2</v>
      </c>
      <c r="AG597" s="254"/>
      <c r="AH597" s="254"/>
    </row>
    <row r="598" spans="1:35" s="61" customFormat="1" ht="15" customHeight="1" x14ac:dyDescent="0.25">
      <c r="A598" s="260"/>
      <c r="B598" s="297"/>
      <c r="C598" s="39"/>
      <c r="D598" s="39"/>
      <c r="E598" s="39"/>
      <c r="F598" s="39"/>
      <c r="G598" s="39"/>
      <c r="H598" s="39"/>
      <c r="I598" s="39"/>
      <c r="J598" s="39"/>
      <c r="K598" s="39"/>
      <c r="L598" s="39">
        <v>0.43</v>
      </c>
      <c r="M598" s="39">
        <v>0.51</v>
      </c>
      <c r="N598" s="39"/>
      <c r="O598" s="39"/>
      <c r="P598" s="39"/>
      <c r="Q598" s="39"/>
      <c r="R598" s="39"/>
      <c r="S598" s="42">
        <v>0.3</v>
      </c>
      <c r="T598" s="38">
        <f>ROUND((L598*I595+1.3*L598*K595+S598*H595),4)</f>
        <v>671.51400000000001</v>
      </c>
      <c r="U598" s="38">
        <f>ROUND((M598*0.9*I595+1.3*M598*0.9*K595+S598*H595),4)</f>
        <v>715.58820000000003</v>
      </c>
      <c r="V598" s="38">
        <f>ROUND((M598*I595+1.3*M598*K595+S598*H595),4)</f>
        <v>793.09799999999996</v>
      </c>
      <c r="W598" s="38">
        <f>ROUND((L598*J595+1.3*L598*N595+S598*G595),4)</f>
        <v>13.41</v>
      </c>
      <c r="X598" s="38">
        <f>ROUND((M598*0.9*J595+1.3*M598*0.9*N595+S598*G595),4)</f>
        <v>14.193</v>
      </c>
      <c r="Y598" s="38">
        <f>ROUND((M598*J595+1.3*N595+S598*G595),4)</f>
        <v>21.94</v>
      </c>
      <c r="Z598" s="276">
        <f>ROUND((P595*T598*F595*O595/1000000),4)</f>
        <v>0</v>
      </c>
      <c r="AA598" s="276">
        <f>ROUND((Q595*U598*F595*O595/1000000),4)</f>
        <v>2.1499999999999998E-2</v>
      </c>
      <c r="AB598" s="276">
        <f>ROUND((R595*V598*F595*O595/1000000),4)</f>
        <v>4.7600000000000003E-2</v>
      </c>
      <c r="AC598" s="277" t="s">
        <v>548</v>
      </c>
      <c r="AD598" s="278" t="s">
        <v>549</v>
      </c>
      <c r="AE598" s="40">
        <f>ROUND((((X598*E595)/1800)),4)</f>
        <v>7.9000000000000008E-3</v>
      </c>
      <c r="AF598" s="40">
        <f>ROUND(((Z598+AA598+AB598)),4)</f>
        <v>6.9099999999999995E-2</v>
      </c>
      <c r="AG598" s="254"/>
      <c r="AH598" s="254"/>
    </row>
    <row r="599" spans="1:35" s="61" customFormat="1" ht="15" customHeight="1" x14ac:dyDescent="0.25">
      <c r="A599" s="260"/>
      <c r="B599" s="280"/>
      <c r="C599" s="39"/>
      <c r="D599" s="39"/>
      <c r="E599" s="39"/>
      <c r="F599" s="39"/>
      <c r="G599" s="39"/>
      <c r="H599" s="39"/>
      <c r="I599" s="39"/>
      <c r="J599" s="39"/>
      <c r="K599" s="39"/>
      <c r="L599" s="39">
        <v>0.27</v>
      </c>
      <c r="M599" s="39">
        <v>0.41</v>
      </c>
      <c r="N599" s="39"/>
      <c r="O599" s="39"/>
      <c r="P599" s="39"/>
      <c r="Q599" s="39"/>
      <c r="R599" s="39"/>
      <c r="S599" s="42">
        <v>0.06</v>
      </c>
      <c r="T599" s="38">
        <f>ROUND((L599*I595+1.3*L599*K595+S599*H595),4)</f>
        <v>413.94600000000003</v>
      </c>
      <c r="U599" s="38">
        <f>ROUND((M599*0.9*I595+1.3*M599*0.9*K595+S599*H595),4)</f>
        <v>564.40620000000001</v>
      </c>
      <c r="V599" s="38">
        <f>ROUND((M599*I595+1.3*M599*K595+S599*H595),4)</f>
        <v>626.71799999999996</v>
      </c>
      <c r="W599" s="38">
        <f>ROUND((L599*J595+1.3*L599*N595+S599*G595),4)</f>
        <v>7.65</v>
      </c>
      <c r="X599" s="38">
        <f>ROUND((M599*0.9*J595+1.3*M599*0.9*N595+S599*G595),4)</f>
        <v>10.323</v>
      </c>
      <c r="Y599" s="38">
        <f>ROUND((M599*J595+1.3*M599*N595+S599*G595),4)</f>
        <v>11.43</v>
      </c>
      <c r="Z599" s="276">
        <f>ROUND((P595*T599*F595*O595/1000000),4)</f>
        <v>0</v>
      </c>
      <c r="AA599" s="276">
        <f>ROUND((Q595*U599*F595*O595/1000000),4)</f>
        <v>1.6899999999999998E-2</v>
      </c>
      <c r="AB599" s="276">
        <f>ROUND((R595*V599*F595*O595/1000000),4)</f>
        <v>3.7600000000000001E-2</v>
      </c>
      <c r="AC599" s="277" t="s">
        <v>172</v>
      </c>
      <c r="AD599" s="278" t="s">
        <v>173</v>
      </c>
      <c r="AE599" s="40">
        <f>ROUND((((X599*E595)/1800)),4)</f>
        <v>5.7000000000000002E-3</v>
      </c>
      <c r="AF599" s="40">
        <f>ROUND(((Z599+AA599+AB599)),4)</f>
        <v>5.45E-2</v>
      </c>
      <c r="AG599" s="254"/>
      <c r="AH599" s="254"/>
    </row>
    <row r="600" spans="1:35" s="61" customFormat="1" ht="15" customHeight="1" x14ac:dyDescent="0.25">
      <c r="A600" s="260"/>
      <c r="B600" s="280"/>
      <c r="C600" s="119"/>
      <c r="D600" s="119"/>
      <c r="E600" s="119"/>
      <c r="F600" s="119"/>
      <c r="G600" s="119"/>
      <c r="H600" s="119"/>
      <c r="I600" s="119"/>
      <c r="J600" s="119"/>
      <c r="K600" s="119"/>
      <c r="L600" s="119">
        <v>1.29</v>
      </c>
      <c r="M600" s="119">
        <v>1.57</v>
      </c>
      <c r="N600" s="119"/>
      <c r="O600" s="119"/>
      <c r="P600" s="119"/>
      <c r="Q600" s="119"/>
      <c r="R600" s="119"/>
      <c r="S600" s="42">
        <v>2.4</v>
      </c>
      <c r="T600" s="42">
        <f>ROUND((L600*I595+1.3*L600*K595+S600*H595),4)</f>
        <v>2104.5419999999999</v>
      </c>
      <c r="U600" s="42">
        <f>ROUND((M600*0.9*I595+1.3*M600*0.9*K595+S600*H595),4)</f>
        <v>2291.4774000000002</v>
      </c>
      <c r="V600" s="42">
        <f>ROUND((M600*I595+1.3*M600*K595+S600*H595),4)</f>
        <v>2530.0859999999998</v>
      </c>
      <c r="W600" s="42">
        <f>ROUND((L600*J595+1.3*L600*N595+S600*G595),4)</f>
        <v>49.23</v>
      </c>
      <c r="X600" s="42">
        <f>ROUND((M600*0.9*J595+1.3*M600*0.9*N595+S600*G595),4)</f>
        <v>52.551000000000002</v>
      </c>
      <c r="Y600" s="42">
        <f>ROUND((M600*J595+1.3*M600*N595+S600*G595),4)</f>
        <v>56.79</v>
      </c>
      <c r="Z600" s="298">
        <f>ROUND((P595*T600*F595*O595/1000000),4)</f>
        <v>0</v>
      </c>
      <c r="AA600" s="298">
        <f>ROUND((Q595*U600*F595*O595/1000000),4)</f>
        <v>6.8699999999999997E-2</v>
      </c>
      <c r="AB600" s="298">
        <f>ROUND((R595*V600*F595*O595/1000000),4)</f>
        <v>0.15179999999999999</v>
      </c>
      <c r="AC600" s="277" t="s">
        <v>157</v>
      </c>
      <c r="AD600" s="278" t="s">
        <v>153</v>
      </c>
      <c r="AE600" s="40">
        <f>ROUND((((X600*E595)/1800)),4)</f>
        <v>2.92E-2</v>
      </c>
      <c r="AF600" s="40">
        <f>ROUND(((Z600+AA600+AB600)),4)</f>
        <v>0.2205</v>
      </c>
      <c r="AG600" s="254"/>
      <c r="AH600" s="254"/>
    </row>
    <row r="601" spans="1:35" s="61" customFormat="1" ht="15" customHeight="1" x14ac:dyDescent="0.25">
      <c r="A601" s="260"/>
      <c r="B601" s="274" t="s">
        <v>551</v>
      </c>
      <c r="C601" s="274">
        <v>5</v>
      </c>
      <c r="D601" s="38" t="s">
        <v>552</v>
      </c>
      <c r="E601" s="38">
        <v>1</v>
      </c>
      <c r="F601" s="38">
        <v>5</v>
      </c>
      <c r="G601" s="38">
        <v>6</v>
      </c>
      <c r="H601" s="38">
        <v>60</v>
      </c>
      <c r="I601" s="38">
        <f>(8-1-0.75*2)*60*F601-K601-8*0.12*60</f>
        <v>519.9</v>
      </c>
      <c r="J601" s="38">
        <v>14</v>
      </c>
      <c r="K601" s="38">
        <f>(8-1-0.75*2)*0.65*60*F601</f>
        <v>1072.5</v>
      </c>
      <c r="L601" s="38">
        <v>4.01</v>
      </c>
      <c r="M601" s="38">
        <v>4.01</v>
      </c>
      <c r="N601" s="38">
        <v>10</v>
      </c>
      <c r="O601" s="38">
        <f>E601/F601</f>
        <v>0.2</v>
      </c>
      <c r="P601" s="38">
        <v>0</v>
      </c>
      <c r="Q601" s="38">
        <v>30</v>
      </c>
      <c r="R601" s="275">
        <v>60</v>
      </c>
      <c r="S601" s="275">
        <v>0.78</v>
      </c>
      <c r="T601" s="38">
        <f>ROUND((L601*I601+1.3*L601*K601+S601*H601),4)</f>
        <v>7722.5415000000003</v>
      </c>
      <c r="U601" s="38">
        <f>ROUND((M601*I601+1.3*M601*K601+S601*H601),4)</f>
        <v>7722.5415000000003</v>
      </c>
      <c r="V601" s="38">
        <f>ROUND((M601*I601+1.3*M601*K601+S601*H601),4)</f>
        <v>7722.5415000000003</v>
      </c>
      <c r="W601" s="38">
        <f>ROUND((L601*J601+1.3*L601*N601+S601*G601),4)</f>
        <v>112.95</v>
      </c>
      <c r="X601" s="38">
        <f>ROUND((M601*J601+1.3*M601*N601+S601*G601),4)</f>
        <v>112.95</v>
      </c>
      <c r="Y601" s="38">
        <f>ROUND((M601*J601+1.3*M601*N601+S601*G601),4)</f>
        <v>112.95</v>
      </c>
      <c r="Z601" s="276">
        <f>ROUND((P601*T601*F601*O601/1000000),4)</f>
        <v>0</v>
      </c>
      <c r="AA601" s="276">
        <f>ROUND((Q601*U601*F601*O601/1000000),4)</f>
        <v>0.23169999999999999</v>
      </c>
      <c r="AB601" s="276">
        <f>ROUND((R601*V601*F601*O601/1000000),4)</f>
        <v>0.46339999999999998</v>
      </c>
      <c r="AC601" s="277" t="s">
        <v>165</v>
      </c>
      <c r="AD601" s="278" t="s">
        <v>144</v>
      </c>
      <c r="AE601" s="40">
        <f>ROUND((((X601*E601)/1800)*0.8),4)</f>
        <v>5.0200000000000002E-2</v>
      </c>
      <c r="AF601" s="40">
        <f>ROUND(((Z601+AA601+AB601)*0.8),4)</f>
        <v>0.55610000000000004</v>
      </c>
      <c r="AG601" s="288"/>
      <c r="AH601" s="288"/>
    </row>
    <row r="602" spans="1:35" s="61" customFormat="1" ht="15" customHeight="1" x14ac:dyDescent="0.25">
      <c r="A602" s="260"/>
      <c r="B602" s="279" t="s">
        <v>553</v>
      </c>
      <c r="C602" s="280"/>
      <c r="D602" s="39"/>
      <c r="E602" s="39"/>
      <c r="F602" s="39"/>
      <c r="G602" s="39"/>
      <c r="H602" s="39"/>
      <c r="I602" s="39"/>
      <c r="J602" s="39"/>
      <c r="K602" s="39"/>
      <c r="L602" s="119"/>
      <c r="M602" s="119"/>
      <c r="N602" s="39"/>
      <c r="O602" s="39"/>
      <c r="P602" s="39"/>
      <c r="Q602" s="39"/>
      <c r="R602" s="39"/>
      <c r="S602" s="281"/>
      <c r="T602" s="39"/>
      <c r="U602" s="39"/>
      <c r="V602" s="39"/>
      <c r="W602" s="39"/>
      <c r="X602" s="39"/>
      <c r="Y602" s="39"/>
      <c r="Z602" s="39"/>
      <c r="AA602" s="39"/>
      <c r="AB602" s="39"/>
      <c r="AC602" s="277" t="s">
        <v>166</v>
      </c>
      <c r="AD602" s="278" t="s">
        <v>167</v>
      </c>
      <c r="AE602" s="40">
        <f>ROUND((((X601*E601)/1800)*0.13),4)</f>
        <v>8.2000000000000007E-3</v>
      </c>
      <c r="AF602" s="40">
        <f>ROUND(((Z601+AA601+AB601)*0.13),4)</f>
        <v>9.0399999999999994E-2</v>
      </c>
      <c r="AG602" s="288"/>
      <c r="AH602" s="288"/>
    </row>
    <row r="603" spans="1:35" s="61" customFormat="1" ht="15" customHeight="1" x14ac:dyDescent="0.25">
      <c r="A603" s="260"/>
      <c r="B603" s="280"/>
      <c r="C603" s="282"/>
      <c r="D603" s="283"/>
      <c r="E603" s="39"/>
      <c r="F603" s="39"/>
      <c r="G603" s="39"/>
      <c r="H603" s="39"/>
      <c r="I603" s="39"/>
      <c r="J603" s="39"/>
      <c r="K603" s="39"/>
      <c r="L603" s="40">
        <v>0.31</v>
      </c>
      <c r="M603" s="40">
        <v>0.38</v>
      </c>
      <c r="N603" s="39"/>
      <c r="O603" s="39"/>
      <c r="P603" s="39"/>
      <c r="Q603" s="39"/>
      <c r="R603" s="39"/>
      <c r="S603" s="284">
        <v>0.16</v>
      </c>
      <c r="T603" s="38">
        <f>ROUND((L603*I601+1.3*L603*K601+S603*H601),4)</f>
        <v>602.98649999999998</v>
      </c>
      <c r="U603" s="38">
        <f>ROUND((M603*0.9*I601+1.3*M603*0.9*K601+S603*H601),4)</f>
        <v>664.23929999999996</v>
      </c>
      <c r="V603" s="38">
        <f>ROUND((M603*I601+1.3*M603*K601+S603*H601),4)</f>
        <v>736.97699999999998</v>
      </c>
      <c r="W603" s="38">
        <f>ROUND((L603*J601+1.3*L603*N601+S603*G601),4)</f>
        <v>9.33</v>
      </c>
      <c r="X603" s="38">
        <f>ROUND((M603*0.9*J601+1.3*M603*0.9*N601+S603*G601),4)</f>
        <v>10.194000000000001</v>
      </c>
      <c r="Y603" s="38">
        <f>ROUND((M603*J601+1.3*M603*N601+S603*G601),4)</f>
        <v>11.22</v>
      </c>
      <c r="Z603" s="276">
        <f>ROUND((P601*T603*F601*O601/1000000),4)</f>
        <v>0</v>
      </c>
      <c r="AA603" s="276">
        <f>ROUND((Q601*U603*F601*O601/1000000),4)</f>
        <v>1.9900000000000001E-2</v>
      </c>
      <c r="AB603" s="276">
        <f>ROUND((R601*V603*F601*O601/1000000),4)</f>
        <v>4.4200000000000003E-2</v>
      </c>
      <c r="AC603" s="277" t="s">
        <v>547</v>
      </c>
      <c r="AD603" s="278" t="s">
        <v>169</v>
      </c>
      <c r="AE603" s="40">
        <f>ROUND((((X603*E601)/1800)),4)</f>
        <v>5.7000000000000002E-3</v>
      </c>
      <c r="AF603" s="40">
        <f>ROUND(((Z603+AA603+AB603)),5)</f>
        <v>6.4100000000000004E-2</v>
      </c>
      <c r="AG603" s="288"/>
      <c r="AH603" s="288"/>
    </row>
    <row r="604" spans="1:35" s="61" customFormat="1" ht="15" customHeight="1" x14ac:dyDescent="0.25">
      <c r="A604" s="260"/>
      <c r="B604" s="280"/>
      <c r="C604" s="280"/>
      <c r="D604" s="39"/>
      <c r="E604" s="39"/>
      <c r="F604" s="39"/>
      <c r="G604" s="39"/>
      <c r="H604" s="39"/>
      <c r="I604" s="39"/>
      <c r="J604" s="39"/>
      <c r="K604" s="39"/>
      <c r="L604" s="40">
        <v>0.71</v>
      </c>
      <c r="M604" s="40">
        <v>0.85</v>
      </c>
      <c r="N604" s="39"/>
      <c r="O604" s="39"/>
      <c r="P604" s="39"/>
      <c r="Q604" s="39"/>
      <c r="R604" s="39"/>
      <c r="S604" s="285">
        <v>0.49</v>
      </c>
      <c r="T604" s="38">
        <f>ROUND((L604*I601+1.3*L604*K601+S604*H601),4)</f>
        <v>1388.4465</v>
      </c>
      <c r="U604" s="38">
        <f>ROUND((M604*0.9*I601+1.3*M604*0.9*K601+S604*H601),4)</f>
        <v>1493.7248</v>
      </c>
      <c r="V604" s="38">
        <f>ROUND((M604*I601+1.3*M604*K601+S604*H601),4)</f>
        <v>1656.4275</v>
      </c>
      <c r="W604" s="38">
        <f>ROUND((L604*J601+1.3*L604*N601+S604*G601),4)</f>
        <v>22.11</v>
      </c>
      <c r="X604" s="38">
        <f>ROUND((M604*0.9*J601+1.3*M604*0.9*N601+S604*G601),4)</f>
        <v>23.594999999999999</v>
      </c>
      <c r="Y604" s="38">
        <f>ROUND((M604*J601+1.3*N601+S604*G601),4)</f>
        <v>27.84</v>
      </c>
      <c r="Z604" s="276">
        <f>ROUND((P601*T604*F601*O601/1000000),4)</f>
        <v>0</v>
      </c>
      <c r="AA604" s="276">
        <f>ROUND((Q601*U604*F601*O601/1000000),4)</f>
        <v>4.48E-2</v>
      </c>
      <c r="AB604" s="276">
        <f>ROUND((R601*V604*F601*O601/1000000),4)</f>
        <v>9.9400000000000002E-2</v>
      </c>
      <c r="AC604" s="277" t="s">
        <v>548</v>
      </c>
      <c r="AD604" s="278" t="s">
        <v>549</v>
      </c>
      <c r="AE604" s="40">
        <f>ROUND((((X604*E601)/1800)),4)</f>
        <v>1.3100000000000001E-2</v>
      </c>
      <c r="AF604" s="40">
        <f>ROUND(((Z604+AA604+AB604)),4)</f>
        <v>0.14419999999999999</v>
      </c>
      <c r="AG604" s="288"/>
      <c r="AH604" s="288"/>
    </row>
    <row r="605" spans="1:35" s="61" customFormat="1" ht="15" customHeight="1" x14ac:dyDescent="0.25">
      <c r="A605" s="260"/>
      <c r="B605" s="280"/>
      <c r="C605" s="280"/>
      <c r="D605" s="39"/>
      <c r="E605" s="39"/>
      <c r="F605" s="39"/>
      <c r="G605" s="39"/>
      <c r="H605" s="39"/>
      <c r="I605" s="39"/>
      <c r="J605" s="39"/>
      <c r="K605" s="39"/>
      <c r="L605" s="40">
        <v>0.45</v>
      </c>
      <c r="M605" s="40">
        <v>0.67</v>
      </c>
      <c r="N605" s="39"/>
      <c r="O605" s="39"/>
      <c r="P605" s="39"/>
      <c r="Q605" s="39"/>
      <c r="R605" s="39"/>
      <c r="S605" s="285">
        <v>0.1</v>
      </c>
      <c r="T605" s="38">
        <f>ROUND((L605*I601+1.3*L605*K601+S605*H601),4)</f>
        <v>867.36749999999995</v>
      </c>
      <c r="U605" s="38">
        <f>ROUND((M605*0.9*I601+1.3*M605*0.9*K601+S605*H601),4)</f>
        <v>1160.2325000000001</v>
      </c>
      <c r="V605" s="38">
        <f>ROUND((M605*I601+1.3*M605*K601+S605*H601),4)</f>
        <v>1288.4804999999999</v>
      </c>
      <c r="W605" s="38">
        <f>ROUND((L605*J601+1.3*L605*N601+S605*G601),4)</f>
        <v>12.75</v>
      </c>
      <c r="X605" s="38">
        <f>ROUND((M605*0.9*J601+1.3*M605*0.9*N601+S605*G601),4)</f>
        <v>16.881</v>
      </c>
      <c r="Y605" s="38">
        <f>ROUND((M605*J601+1.3*M605*N601+S605*G601),4)</f>
        <v>18.690000000000001</v>
      </c>
      <c r="Z605" s="276">
        <f>ROUND((P601*T605*F601*O601/1000000),4)</f>
        <v>0</v>
      </c>
      <c r="AA605" s="276">
        <f>ROUND((Q601*U605*F601*O601/1000000),4)</f>
        <v>3.4799999999999998E-2</v>
      </c>
      <c r="AB605" s="276">
        <f>ROUND((R601*V605*F601*O601/1000000),4)</f>
        <v>7.7299999999999994E-2</v>
      </c>
      <c r="AC605" s="277" t="s">
        <v>172</v>
      </c>
      <c r="AD605" s="278" t="s">
        <v>173</v>
      </c>
      <c r="AE605" s="40">
        <f>ROUND((((X605*E601)/1800)),4)</f>
        <v>9.4000000000000004E-3</v>
      </c>
      <c r="AF605" s="40">
        <f>ROUND(((Z605+AA605+AB605)),4)</f>
        <v>0.11210000000000001</v>
      </c>
      <c r="AG605" s="288"/>
      <c r="AH605" s="288"/>
    </row>
    <row r="606" spans="1:35" s="61" customFormat="1" ht="15" customHeight="1" x14ac:dyDescent="0.25">
      <c r="A606" s="260"/>
      <c r="B606" s="286"/>
      <c r="C606" s="286"/>
      <c r="D606" s="119"/>
      <c r="E606" s="119"/>
      <c r="F606" s="119"/>
      <c r="G606" s="119"/>
      <c r="H606" s="119"/>
      <c r="I606" s="119"/>
      <c r="J606" s="119"/>
      <c r="K606" s="119"/>
      <c r="L606" s="40">
        <v>2.09</v>
      </c>
      <c r="M606" s="40">
        <v>2.5499999999999998</v>
      </c>
      <c r="N606" s="119"/>
      <c r="O606" s="119"/>
      <c r="P606" s="119"/>
      <c r="Q606" s="119"/>
      <c r="R606" s="119"/>
      <c r="S606" s="285">
        <v>3.91</v>
      </c>
      <c r="T606" s="38">
        <f>ROUND((L606*I601+1.3*L606*K601+S606*H601),4)</f>
        <v>4235.1734999999999</v>
      </c>
      <c r="U606" s="38">
        <f>ROUND((M606*0.9*I601+1.3*M606*0.9*K601+S606*H601),4)</f>
        <v>4627.5743000000002</v>
      </c>
      <c r="V606" s="38">
        <f>ROUND((M606*I601+1.3*M606*K601+S606*H601),4)</f>
        <v>5115.6824999999999</v>
      </c>
      <c r="W606" s="38">
        <f>ROUND((L606*J601+1.3*L606*N601+S606*G601),4)</f>
        <v>79.89</v>
      </c>
      <c r="X606" s="38">
        <f>ROUND((M606*0.9*J601+1.3*M606*0.9*N601+S606*G601),4)</f>
        <v>85.424999999999997</v>
      </c>
      <c r="Y606" s="38">
        <f>ROUND((M606*J601+1.3*M606*N601+S606*G601),4)</f>
        <v>92.31</v>
      </c>
      <c r="Z606" s="276">
        <f>ROUND((P601*T606*F601*O601/1000000),4)</f>
        <v>0</v>
      </c>
      <c r="AA606" s="276">
        <f>ROUND((Q601*U606*F601*O601/1000000),4)</f>
        <v>0.13880000000000001</v>
      </c>
      <c r="AB606" s="276">
        <f>ROUND((R601*V606*F601*O601/1000000),4)</f>
        <v>0.30690000000000001</v>
      </c>
      <c r="AC606" s="277" t="s">
        <v>157</v>
      </c>
      <c r="AD606" s="278" t="s">
        <v>153</v>
      </c>
      <c r="AE606" s="40">
        <f>ROUND((((X606*E601)/1800)),4)</f>
        <v>4.7500000000000001E-2</v>
      </c>
      <c r="AF606" s="40">
        <f>ROUND(((Z606+AA606+AB606)),4)</f>
        <v>0.44569999999999999</v>
      </c>
      <c r="AG606" s="288"/>
      <c r="AH606" s="288"/>
    </row>
    <row r="607" spans="1:35" s="61" customFormat="1" ht="15" customHeight="1" x14ac:dyDescent="0.25">
      <c r="A607" s="260"/>
      <c r="B607" s="274" t="s">
        <v>554</v>
      </c>
      <c r="C607" s="274">
        <v>5</v>
      </c>
      <c r="D607" s="38" t="s">
        <v>552</v>
      </c>
      <c r="E607" s="38">
        <v>1</v>
      </c>
      <c r="F607" s="38">
        <v>1</v>
      </c>
      <c r="G607" s="38">
        <v>6</v>
      </c>
      <c r="H607" s="38">
        <v>60</v>
      </c>
      <c r="I607" s="38">
        <f>(8-1-0.75*2)*60*F607-K607-8*0.12*60</f>
        <v>57.900000000000006</v>
      </c>
      <c r="J607" s="38">
        <v>14</v>
      </c>
      <c r="K607" s="38">
        <f>(8-1-0.75*2)*0.65*60*F607</f>
        <v>214.5</v>
      </c>
      <c r="L607" s="38">
        <v>4.01</v>
      </c>
      <c r="M607" s="38">
        <v>4.01</v>
      </c>
      <c r="N607" s="38">
        <v>10</v>
      </c>
      <c r="O607" s="38">
        <f>E607/F607</f>
        <v>1</v>
      </c>
      <c r="P607" s="38">
        <v>0</v>
      </c>
      <c r="Q607" s="38">
        <v>30</v>
      </c>
      <c r="R607" s="275">
        <v>60</v>
      </c>
      <c r="S607" s="275">
        <v>0.78</v>
      </c>
      <c r="T607" s="38">
        <f>ROUND((L607*I607+1.3*L607*K607+S607*H607),4)</f>
        <v>1397.1675</v>
      </c>
      <c r="U607" s="38">
        <f>ROUND((M607*I607+1.3*M607*K607+S607*H607),4)</f>
        <v>1397.1675</v>
      </c>
      <c r="V607" s="38">
        <f>ROUND((M607*I607+1.3*M607*K607+S607*H607),4)</f>
        <v>1397.1675</v>
      </c>
      <c r="W607" s="38">
        <f>ROUND((L607*J607+1.3*L607*N607+S607*G607),4)</f>
        <v>112.95</v>
      </c>
      <c r="X607" s="38">
        <f>ROUND((M607*J607+1.3*M607*N607+S607*G607),4)</f>
        <v>112.95</v>
      </c>
      <c r="Y607" s="38">
        <f>ROUND((M607*J607+1.3*M607*N607+S607*G607),4)</f>
        <v>112.95</v>
      </c>
      <c r="Z607" s="276">
        <f>ROUND((P607*T607*F607*O607/1000000),4)</f>
        <v>0</v>
      </c>
      <c r="AA607" s="276">
        <f>ROUND((Q607*U607*F607*O607/1000000),4)</f>
        <v>4.19E-2</v>
      </c>
      <c r="AB607" s="276">
        <f>ROUND((R607*V607*F607*O607/1000000),4)</f>
        <v>8.3799999999999999E-2</v>
      </c>
      <c r="AC607" s="277" t="s">
        <v>165</v>
      </c>
      <c r="AD607" s="278" t="s">
        <v>144</v>
      </c>
      <c r="AE607" s="40">
        <f>ROUND((((X607*E607)/1800)*0.8),4)</f>
        <v>5.0200000000000002E-2</v>
      </c>
      <c r="AF607" s="40">
        <f>ROUND(((Z607+AA607+AB607)*0.8),4)</f>
        <v>0.10059999999999999</v>
      </c>
      <c r="AG607" s="254"/>
      <c r="AH607" s="254"/>
    </row>
    <row r="608" spans="1:35" s="61" customFormat="1" ht="15" customHeight="1" x14ac:dyDescent="0.25">
      <c r="A608" s="260"/>
      <c r="B608" s="279" t="s">
        <v>555</v>
      </c>
      <c r="C608" s="280"/>
      <c r="D608" s="39"/>
      <c r="E608" s="39"/>
      <c r="F608" s="39"/>
      <c r="G608" s="39"/>
      <c r="H608" s="39"/>
      <c r="I608" s="39"/>
      <c r="J608" s="39"/>
      <c r="K608" s="39"/>
      <c r="L608" s="119"/>
      <c r="M608" s="119"/>
      <c r="N608" s="39"/>
      <c r="O608" s="39"/>
      <c r="P608" s="39"/>
      <c r="Q608" s="39"/>
      <c r="R608" s="39"/>
      <c r="S608" s="281"/>
      <c r="T608" s="39"/>
      <c r="U608" s="39"/>
      <c r="V608" s="39"/>
      <c r="W608" s="39"/>
      <c r="X608" s="39"/>
      <c r="Y608" s="39"/>
      <c r="Z608" s="39"/>
      <c r="AA608" s="39"/>
      <c r="AB608" s="39"/>
      <c r="AC608" s="277" t="s">
        <v>166</v>
      </c>
      <c r="AD608" s="278" t="s">
        <v>167</v>
      </c>
      <c r="AE608" s="40">
        <f>ROUND((((X607*E607)/1800)*0.13),4)</f>
        <v>8.2000000000000007E-3</v>
      </c>
      <c r="AF608" s="40">
        <f>ROUND(((Z607+AA607+AB607)*0.13),4)</f>
        <v>1.6299999999999999E-2</v>
      </c>
      <c r="AG608" s="254"/>
      <c r="AH608" s="254"/>
    </row>
    <row r="609" spans="1:34" s="61" customFormat="1" ht="15" customHeight="1" x14ac:dyDescent="0.25">
      <c r="A609" s="260"/>
      <c r="B609" s="280"/>
      <c r="C609" s="282"/>
      <c r="D609" s="283"/>
      <c r="E609" s="39"/>
      <c r="F609" s="39"/>
      <c r="G609" s="39"/>
      <c r="H609" s="39"/>
      <c r="I609" s="39"/>
      <c r="J609" s="39"/>
      <c r="K609" s="39"/>
      <c r="L609" s="40">
        <v>0.31</v>
      </c>
      <c r="M609" s="40">
        <v>0.38</v>
      </c>
      <c r="N609" s="39"/>
      <c r="O609" s="39"/>
      <c r="P609" s="39"/>
      <c r="Q609" s="39"/>
      <c r="R609" s="39"/>
      <c r="S609" s="284">
        <v>0.16</v>
      </c>
      <c r="T609" s="38">
        <f>ROUND((L609*I607+1.3*L609*K607+S609*H607),4)</f>
        <v>113.99250000000001</v>
      </c>
      <c r="U609" s="38">
        <f>ROUND((M609*0.9*I607+1.3*M609*0.9*K607+S609*H607),4)</f>
        <v>124.7685</v>
      </c>
      <c r="V609" s="38">
        <f>ROUND((M609*I607+1.3*M609*K607+S609*H607),4)</f>
        <v>137.565</v>
      </c>
      <c r="W609" s="38">
        <f>ROUND((L609*J607+1.3*L609*N607+S609*G607),4)</f>
        <v>9.33</v>
      </c>
      <c r="X609" s="38">
        <f>ROUND((M609*0.9*J607+1.3*M609*0.9*N607+S609*G607),4)</f>
        <v>10.194000000000001</v>
      </c>
      <c r="Y609" s="38">
        <f>ROUND((M609*J607+1.3*M609*N607+S609*G607),4)</f>
        <v>11.22</v>
      </c>
      <c r="Z609" s="276">
        <f>ROUND((P607*T609*F607*O607/1000000),4)</f>
        <v>0</v>
      </c>
      <c r="AA609" s="276">
        <f>ROUND((Q607*U609*F607*O607/1000000),4)</f>
        <v>3.7000000000000002E-3</v>
      </c>
      <c r="AB609" s="276">
        <f>ROUND((R607*V609*F607*O607/1000000),4)</f>
        <v>8.3000000000000001E-3</v>
      </c>
      <c r="AC609" s="277" t="s">
        <v>547</v>
      </c>
      <c r="AD609" s="278" t="s">
        <v>169</v>
      </c>
      <c r="AE609" s="40">
        <f>ROUND((((X609*E607)/1800)),4)</f>
        <v>5.7000000000000002E-3</v>
      </c>
      <c r="AF609" s="40">
        <f>ROUND(((Z609+AA609+AB609)),5)</f>
        <v>1.2E-2</v>
      </c>
      <c r="AG609" s="254"/>
      <c r="AH609" s="254"/>
    </row>
    <row r="610" spans="1:34" s="61" customFormat="1" ht="15" customHeight="1" x14ac:dyDescent="0.25">
      <c r="A610" s="260"/>
      <c r="B610" s="280"/>
      <c r="C610" s="280"/>
      <c r="D610" s="39"/>
      <c r="E610" s="39"/>
      <c r="F610" s="39"/>
      <c r="G610" s="39"/>
      <c r="H610" s="39"/>
      <c r="I610" s="39"/>
      <c r="J610" s="39"/>
      <c r="K610" s="39"/>
      <c r="L610" s="40">
        <v>0.71</v>
      </c>
      <c r="M610" s="40">
        <v>0.85</v>
      </c>
      <c r="N610" s="39"/>
      <c r="O610" s="39"/>
      <c r="P610" s="39"/>
      <c r="Q610" s="39"/>
      <c r="R610" s="39"/>
      <c r="S610" s="285">
        <v>0.49</v>
      </c>
      <c r="T610" s="38">
        <f>ROUND((L610*I607+1.3*L610*K607+S610*H607),4)</f>
        <v>268.49250000000001</v>
      </c>
      <c r="U610" s="38">
        <f>ROUND((M610*0.9*I607+1.3*M610*0.9*K607+S610*H607),4)</f>
        <v>287.0138</v>
      </c>
      <c r="V610" s="38">
        <f>ROUND((M610*I607+1.3*M610*K607+S610*H607),4)</f>
        <v>315.63749999999999</v>
      </c>
      <c r="W610" s="38">
        <f>ROUND((L610*J607+1.3*L610*N607+S610*G607),4)</f>
        <v>22.11</v>
      </c>
      <c r="X610" s="38">
        <f>ROUND((M610*0.9*J607+1.3*M610*0.9*N607+S610*G607),4)</f>
        <v>23.594999999999999</v>
      </c>
      <c r="Y610" s="38">
        <f>ROUND((M610*J607+1.3*N607+S610*G607),4)</f>
        <v>27.84</v>
      </c>
      <c r="Z610" s="276">
        <f>ROUND((P607*T610*F607*O607/1000000),4)</f>
        <v>0</v>
      </c>
      <c r="AA610" s="276">
        <f>ROUND((Q607*U610*F607*O607/1000000),4)</f>
        <v>8.6E-3</v>
      </c>
      <c r="AB610" s="276">
        <f>ROUND((R607*V610*F607*O607/1000000),4)</f>
        <v>1.89E-2</v>
      </c>
      <c r="AC610" s="277" t="s">
        <v>548</v>
      </c>
      <c r="AD610" s="278" t="s">
        <v>549</v>
      </c>
      <c r="AE610" s="40">
        <f>ROUND((((X610*E607)/1800)),4)</f>
        <v>1.3100000000000001E-2</v>
      </c>
      <c r="AF610" s="40">
        <f>ROUND(((Z610+AA610+AB610)),4)</f>
        <v>2.75E-2</v>
      </c>
      <c r="AG610" s="254"/>
      <c r="AH610" s="254"/>
    </row>
    <row r="611" spans="1:34" s="61" customFormat="1" ht="15" customHeight="1" x14ac:dyDescent="0.25">
      <c r="A611" s="260"/>
      <c r="B611" s="280"/>
      <c r="C611" s="280"/>
      <c r="D611" s="39"/>
      <c r="E611" s="39"/>
      <c r="F611" s="39"/>
      <c r="G611" s="39"/>
      <c r="H611" s="39"/>
      <c r="I611" s="39"/>
      <c r="J611" s="39"/>
      <c r="K611" s="39"/>
      <c r="L611" s="40">
        <v>0.45</v>
      </c>
      <c r="M611" s="40">
        <v>0.67</v>
      </c>
      <c r="N611" s="39"/>
      <c r="O611" s="39"/>
      <c r="P611" s="39"/>
      <c r="Q611" s="39"/>
      <c r="R611" s="39"/>
      <c r="S611" s="285">
        <v>0.1</v>
      </c>
      <c r="T611" s="38">
        <f>ROUND((L611*I607+1.3*L611*K607+S611*H607),4)</f>
        <v>157.53749999999999</v>
      </c>
      <c r="U611" s="38">
        <f>ROUND((M611*0.9*I607+1.3*M611*0.9*K607+S611*H607),4)</f>
        <v>209.06030000000001</v>
      </c>
      <c r="V611" s="38">
        <f>ROUND((M611*I607+1.3*M611*K607+S611*H607),4)</f>
        <v>231.6225</v>
      </c>
      <c r="W611" s="38">
        <f>ROUND((L611*J607+1.3*L611*N607+S611*G607),4)</f>
        <v>12.75</v>
      </c>
      <c r="X611" s="38">
        <f>ROUND((M611*0.9*J607+1.3*M611*0.9*N607+S611*G607),4)</f>
        <v>16.881</v>
      </c>
      <c r="Y611" s="38">
        <f>ROUND((M611*J607+1.3*M611*N607+S611*G607),4)</f>
        <v>18.690000000000001</v>
      </c>
      <c r="Z611" s="276">
        <f>ROUND((P607*T611*F607*O607/1000000),4)</f>
        <v>0</v>
      </c>
      <c r="AA611" s="276">
        <f>ROUND((Q607*U611*F607*O607/1000000),4)</f>
        <v>6.3E-3</v>
      </c>
      <c r="AB611" s="276">
        <f>ROUND((R607*V611*F607*O607/1000000),4)</f>
        <v>1.3899999999999999E-2</v>
      </c>
      <c r="AC611" s="277" t="s">
        <v>172</v>
      </c>
      <c r="AD611" s="278" t="s">
        <v>173</v>
      </c>
      <c r="AE611" s="40">
        <f>ROUND((((X611*E607)/1800)),4)</f>
        <v>9.4000000000000004E-3</v>
      </c>
      <c r="AF611" s="40">
        <f>ROUND(((Z611+AA611+AB611)),4)</f>
        <v>2.0199999999999999E-2</v>
      </c>
      <c r="AG611" s="254"/>
      <c r="AH611" s="254"/>
    </row>
    <row r="612" spans="1:34" s="61" customFormat="1" ht="15" customHeight="1" x14ac:dyDescent="0.25">
      <c r="A612" s="260"/>
      <c r="B612" s="286"/>
      <c r="C612" s="286"/>
      <c r="D612" s="119"/>
      <c r="E612" s="119"/>
      <c r="F612" s="119"/>
      <c r="G612" s="119"/>
      <c r="H612" s="119"/>
      <c r="I612" s="119"/>
      <c r="J612" s="119"/>
      <c r="K612" s="119"/>
      <c r="L612" s="40">
        <v>2.09</v>
      </c>
      <c r="M612" s="40">
        <v>2.5499999999999998</v>
      </c>
      <c r="N612" s="119"/>
      <c r="O612" s="119"/>
      <c r="P612" s="119"/>
      <c r="Q612" s="119"/>
      <c r="R612" s="119"/>
      <c r="S612" s="285">
        <v>3.91</v>
      </c>
      <c r="T612" s="38">
        <f>ROUND((L612*I607+1.3*L612*K607+S612*H607),4)</f>
        <v>938.40750000000003</v>
      </c>
      <c r="U612" s="38">
        <f>ROUND((M612*0.9*I607+1.3*M612*0.9*K607+S612*H607),4)</f>
        <v>1007.4413</v>
      </c>
      <c r="V612" s="38">
        <f>ROUND((M612*I607+1.3*M612*K607+S612*H607),4)</f>
        <v>1093.3125</v>
      </c>
      <c r="W612" s="38">
        <f>ROUND((L612*J607+1.3*L612*N607+S612*G607),4)</f>
        <v>79.89</v>
      </c>
      <c r="X612" s="38">
        <f>ROUND((M612*0.9*J607+1.3*M612*0.9*N607+S612*G607),4)</f>
        <v>85.424999999999997</v>
      </c>
      <c r="Y612" s="38">
        <f>ROUND((M612*J607+1.3*M612*N607+S612*G607),4)</f>
        <v>92.31</v>
      </c>
      <c r="Z612" s="276">
        <f>ROUND((P607*T612*F607*O607/1000000),4)</f>
        <v>0</v>
      </c>
      <c r="AA612" s="276">
        <f>ROUND((Q607*U612*F607*O607/1000000),4)</f>
        <v>3.0200000000000001E-2</v>
      </c>
      <c r="AB612" s="276">
        <f>ROUND((R607*V612*F607*O607/1000000),4)</f>
        <v>6.5600000000000006E-2</v>
      </c>
      <c r="AC612" s="277" t="s">
        <v>157</v>
      </c>
      <c r="AD612" s="278" t="s">
        <v>153</v>
      </c>
      <c r="AE612" s="40">
        <f>ROUND((((X612*E607)/1800)),4)</f>
        <v>4.7500000000000001E-2</v>
      </c>
      <c r="AF612" s="40">
        <f>ROUND(((Z612+AA612+AB612)),4)</f>
        <v>9.5799999999999996E-2</v>
      </c>
      <c r="AG612" s="254"/>
      <c r="AH612" s="254"/>
    </row>
    <row r="613" spans="1:34" s="61" customFormat="1" ht="15" customHeight="1" x14ac:dyDescent="0.25">
      <c r="A613" s="260"/>
      <c r="B613" s="274" t="s">
        <v>551</v>
      </c>
      <c r="C613" s="274">
        <v>6</v>
      </c>
      <c r="D613" s="38" t="s">
        <v>556</v>
      </c>
      <c r="E613" s="38">
        <v>1</v>
      </c>
      <c r="F613" s="38">
        <v>4</v>
      </c>
      <c r="G613" s="38">
        <v>6</v>
      </c>
      <c r="H613" s="38">
        <v>60</v>
      </c>
      <c r="I613" s="38">
        <f>(8-1-0.75*2)*60*F613-K613-8*0.12*60</f>
        <v>404.4</v>
      </c>
      <c r="J613" s="38">
        <v>14</v>
      </c>
      <c r="K613" s="38">
        <f>(8-1-0.75*2)*0.65*60*F613</f>
        <v>858</v>
      </c>
      <c r="L613" s="38">
        <v>6.47</v>
      </c>
      <c r="M613" s="38">
        <v>6.47</v>
      </c>
      <c r="N613" s="38">
        <v>10</v>
      </c>
      <c r="O613" s="38">
        <f>E613/F613</f>
        <v>0.25</v>
      </c>
      <c r="P613" s="38">
        <v>0</v>
      </c>
      <c r="Q613" s="38">
        <v>30</v>
      </c>
      <c r="R613" s="275">
        <v>60</v>
      </c>
      <c r="S613" s="275">
        <v>1.27</v>
      </c>
      <c r="T613" s="38">
        <f>ROUND((L613*I613+1.3*L613*K613+S613*H613),4)</f>
        <v>9909.3060000000005</v>
      </c>
      <c r="U613" s="38">
        <f>ROUND((M613*I613+1.3*M613*K613+S613*H613),4)</f>
        <v>9909.3060000000005</v>
      </c>
      <c r="V613" s="38">
        <f>ROUND((M613*I613+1.3*M613*K613+S613*H613),4)</f>
        <v>9909.3060000000005</v>
      </c>
      <c r="W613" s="38">
        <f>ROUND((L613*J613+1.3*L613*N613+S613*G613),4)</f>
        <v>182.31</v>
      </c>
      <c r="X613" s="38">
        <f>ROUND((M613*J613+1.3*M613*N613+S613*G613),4)</f>
        <v>182.31</v>
      </c>
      <c r="Y613" s="38">
        <f>ROUND((M613*J613+1.3*M613*N613+S613*G613),4)</f>
        <v>182.31</v>
      </c>
      <c r="Z613" s="276">
        <f>ROUND((P613*T613*F613*O613/1000000),4)</f>
        <v>0</v>
      </c>
      <c r="AA613" s="276">
        <f>ROUND((Q613*U613*F613*O613/1000000),4)</f>
        <v>0.29730000000000001</v>
      </c>
      <c r="AB613" s="276">
        <f>ROUND((R613*V613*F613*O613/1000000),4)</f>
        <v>0.59460000000000002</v>
      </c>
      <c r="AC613" s="277" t="s">
        <v>165</v>
      </c>
      <c r="AD613" s="278" t="s">
        <v>144</v>
      </c>
      <c r="AE613" s="40">
        <f>ROUND((((X613*E613)/1800)*0.8),4)</f>
        <v>8.1000000000000003E-2</v>
      </c>
      <c r="AF613" s="40">
        <f>ROUND(((Z613+AA613+AB613)*0.8),4)</f>
        <v>0.71350000000000002</v>
      </c>
      <c r="AG613" s="254"/>
      <c r="AH613" s="254"/>
    </row>
    <row r="614" spans="1:34" s="61" customFormat="1" ht="15" customHeight="1" x14ac:dyDescent="0.25">
      <c r="A614" s="260"/>
      <c r="B614" s="280" t="s">
        <v>557</v>
      </c>
      <c r="C614" s="39"/>
      <c r="D614" s="39"/>
      <c r="E614" s="39"/>
      <c r="F614" s="39"/>
      <c r="G614" s="39"/>
      <c r="H614" s="39"/>
      <c r="I614" s="39"/>
      <c r="J614" s="39"/>
      <c r="K614" s="39"/>
      <c r="L614" s="119"/>
      <c r="M614" s="119"/>
      <c r="N614" s="39"/>
      <c r="O614" s="39"/>
      <c r="P614" s="39"/>
      <c r="Q614" s="39"/>
      <c r="R614" s="39"/>
      <c r="S614" s="281"/>
      <c r="T614" s="39"/>
      <c r="U614" s="39"/>
      <c r="V614" s="39"/>
      <c r="W614" s="39"/>
      <c r="X614" s="39"/>
      <c r="Y614" s="39"/>
      <c r="Z614" s="39"/>
      <c r="AA614" s="39"/>
      <c r="AB614" s="39"/>
      <c r="AC614" s="277" t="s">
        <v>166</v>
      </c>
      <c r="AD614" s="278" t="s">
        <v>167</v>
      </c>
      <c r="AE614" s="40">
        <f>ROUND((((X613*E613)/1800)*0.13),4)</f>
        <v>1.32E-2</v>
      </c>
      <c r="AF614" s="40">
        <f>ROUND(((Z613+AA613+AB613)*0.13),4)</f>
        <v>0.1159</v>
      </c>
      <c r="AG614" s="254"/>
      <c r="AH614" s="254"/>
    </row>
    <row r="615" spans="1:34" s="61" customFormat="1" ht="15" customHeight="1" x14ac:dyDescent="0.25">
      <c r="A615" s="260"/>
      <c r="B615" s="287"/>
      <c r="C615" s="283"/>
      <c r="D615" s="283"/>
      <c r="E615" s="39"/>
      <c r="F615" s="39"/>
      <c r="G615" s="39"/>
      <c r="H615" s="39"/>
      <c r="I615" s="39"/>
      <c r="J615" s="39"/>
      <c r="K615" s="39"/>
      <c r="L615" s="40">
        <v>0.51</v>
      </c>
      <c r="M615" s="40">
        <v>0.63</v>
      </c>
      <c r="N615" s="39"/>
      <c r="O615" s="39"/>
      <c r="P615" s="39"/>
      <c r="Q615" s="39"/>
      <c r="R615" s="39"/>
      <c r="S615" s="284">
        <v>0.25</v>
      </c>
      <c r="T615" s="38">
        <f>ROUND((L615*I613+1.3*L615*K613+S615*H613),4)</f>
        <v>790.09799999999996</v>
      </c>
      <c r="U615" s="38">
        <f>ROUND((M615*0.9*I613+1.3*M615*0.9*K613+S615*H613),4)</f>
        <v>876.72659999999996</v>
      </c>
      <c r="V615" s="38">
        <f>ROUND((M615*I613+1.3*M615*K613+S615*H613),4)</f>
        <v>972.47400000000005</v>
      </c>
      <c r="W615" s="38">
        <f>ROUND((L615*J613+1.3*L615*N613+S615*G613),4)</f>
        <v>15.27</v>
      </c>
      <c r="X615" s="38">
        <f>ROUND((M615*0.9*J613+1.3*M615*0.9*N613+S615*G613),4)</f>
        <v>16.809000000000001</v>
      </c>
      <c r="Y615" s="38">
        <f>ROUND((M615*J613+1.3*M615*N613+S615*G613),4)</f>
        <v>18.510000000000002</v>
      </c>
      <c r="Z615" s="276">
        <f>ROUND((P613*T615*F613*O613/1000000),4)</f>
        <v>0</v>
      </c>
      <c r="AA615" s="276">
        <f>ROUND((Q613*U615*F613*O613/1000000),4)</f>
        <v>2.63E-2</v>
      </c>
      <c r="AB615" s="276">
        <f>ROUND((R613*V615*F613*O613/1000000),4)</f>
        <v>5.8299999999999998E-2</v>
      </c>
      <c r="AC615" s="277" t="s">
        <v>547</v>
      </c>
      <c r="AD615" s="278" t="s">
        <v>169</v>
      </c>
      <c r="AE615" s="40">
        <f>ROUND((((X615*E613)/1800)),4)</f>
        <v>9.2999999999999992E-3</v>
      </c>
      <c r="AF615" s="40">
        <f>ROUND(((Z615+AA615+AB615)),5)</f>
        <v>8.4599999999999995E-2</v>
      </c>
      <c r="AG615" s="254"/>
      <c r="AH615" s="254"/>
    </row>
    <row r="616" spans="1:34" s="61" customFormat="1" ht="15" customHeight="1" x14ac:dyDescent="0.25">
      <c r="A616" s="260"/>
      <c r="B616" s="280"/>
      <c r="C616" s="39"/>
      <c r="D616" s="39"/>
      <c r="E616" s="39"/>
      <c r="F616" s="39"/>
      <c r="G616" s="39"/>
      <c r="H616" s="39"/>
      <c r="I616" s="39"/>
      <c r="J616" s="39"/>
      <c r="K616" s="39"/>
      <c r="L616" s="40">
        <v>1.1399999999999999</v>
      </c>
      <c r="M616" s="40">
        <v>1.37</v>
      </c>
      <c r="N616" s="39"/>
      <c r="O616" s="39"/>
      <c r="P616" s="39"/>
      <c r="Q616" s="39"/>
      <c r="R616" s="39"/>
      <c r="S616" s="285">
        <v>0.79</v>
      </c>
      <c r="T616" s="38">
        <f>ROUND((L616*I613+1.3*L616*K613+S616*H613),4)</f>
        <v>1779.972</v>
      </c>
      <c r="U616" s="38">
        <f>ROUND((M616*0.9*I613+1.3*M616*0.9*K613+S616*H613),4)</f>
        <v>1921.3134</v>
      </c>
      <c r="V616" s="38">
        <f>ROUND((M616*I613+1.3*M616*K613+S616*H613),4)</f>
        <v>2129.5259999999998</v>
      </c>
      <c r="W616" s="38">
        <f>ROUND((L616*J613+1.3*L616*N613+S616*G613),4)</f>
        <v>35.520000000000003</v>
      </c>
      <c r="X616" s="38">
        <f>ROUND((M616*0.9*J613+1.3*M616*0.9*N613+S616*G613),4)</f>
        <v>38.030999999999999</v>
      </c>
      <c r="Y616" s="38">
        <f>ROUND((M616*J613+1.3*N613+S616*G613),4)</f>
        <v>36.92</v>
      </c>
      <c r="Z616" s="276">
        <f>ROUND((P613*T616*F613*O613/1000000),4)</f>
        <v>0</v>
      </c>
      <c r="AA616" s="276">
        <f>ROUND((Q613*U616*F613*O613/1000000),4)</f>
        <v>5.7599999999999998E-2</v>
      </c>
      <c r="AB616" s="276">
        <f>ROUND((R613*V616*F613*O613/1000000),4)</f>
        <v>0.1278</v>
      </c>
      <c r="AC616" s="277" t="s">
        <v>548</v>
      </c>
      <c r="AD616" s="278" t="s">
        <v>549</v>
      </c>
      <c r="AE616" s="40">
        <f>ROUND((((X616*E613)/1800)),4)</f>
        <v>2.1100000000000001E-2</v>
      </c>
      <c r="AF616" s="40">
        <f>ROUND(((Z616+AA616+AB616)),4)</f>
        <v>0.18540000000000001</v>
      </c>
      <c r="AG616" s="254"/>
      <c r="AH616" s="254"/>
    </row>
    <row r="617" spans="1:34" s="61" customFormat="1" ht="15" customHeight="1" x14ac:dyDescent="0.25">
      <c r="A617" s="260"/>
      <c r="B617" s="280"/>
      <c r="C617" s="39"/>
      <c r="D617" s="39"/>
      <c r="E617" s="39"/>
      <c r="F617" s="39"/>
      <c r="G617" s="39"/>
      <c r="H617" s="39"/>
      <c r="I617" s="39"/>
      <c r="J617" s="39"/>
      <c r="K617" s="39"/>
      <c r="L617" s="40">
        <v>0.72</v>
      </c>
      <c r="M617" s="40">
        <v>1.08</v>
      </c>
      <c r="N617" s="39"/>
      <c r="O617" s="39"/>
      <c r="P617" s="39"/>
      <c r="Q617" s="39"/>
      <c r="R617" s="39"/>
      <c r="S617" s="285">
        <v>0.17</v>
      </c>
      <c r="T617" s="38">
        <f>ROUND((L617*I613+1.3*L617*K613+S617*H613),4)</f>
        <v>1104.4559999999999</v>
      </c>
      <c r="U617" s="38">
        <f>ROUND((M617*0.9*I613+1.3*M617*0.9*K613+S617*H613),4)</f>
        <v>1487.4456</v>
      </c>
      <c r="V617" s="38">
        <f>ROUND((M617*I613+1.3*M617*K613+S617*H613),4)</f>
        <v>1651.5840000000001</v>
      </c>
      <c r="W617" s="38">
        <f>ROUND((L617*J613+1.3*L617*N613+S617*G613),4)</f>
        <v>20.46</v>
      </c>
      <c r="X617" s="38">
        <f>ROUND((M617*0.9*J613+1.3*M617*0.9*N613+S617*G613),4)</f>
        <v>27.263999999999999</v>
      </c>
      <c r="Y617" s="38">
        <f>ROUND((M617*J613+1.3*M617*N613+S617*G613),4)</f>
        <v>30.18</v>
      </c>
      <c r="Z617" s="276">
        <f>ROUND((P613*T617*F613*O613/1000000),4)</f>
        <v>0</v>
      </c>
      <c r="AA617" s="276">
        <f>ROUND((Q613*U617*F613*O613/1000000),4)</f>
        <v>4.4600000000000001E-2</v>
      </c>
      <c r="AB617" s="276">
        <f>ROUND((R613*V617*F613*O613/1000000),4)</f>
        <v>9.9099999999999994E-2</v>
      </c>
      <c r="AC617" s="277" t="s">
        <v>172</v>
      </c>
      <c r="AD617" s="278" t="s">
        <v>173</v>
      </c>
      <c r="AE617" s="40">
        <f>ROUND((((X617*E613)/1800)),4)</f>
        <v>1.5100000000000001E-2</v>
      </c>
      <c r="AF617" s="40">
        <f>ROUND(((Z617+AA617+AB617)),4)</f>
        <v>0.14369999999999999</v>
      </c>
      <c r="AG617" s="254"/>
      <c r="AH617" s="254"/>
    </row>
    <row r="618" spans="1:34" s="61" customFormat="1" ht="15" customHeight="1" x14ac:dyDescent="0.25">
      <c r="A618" s="260"/>
      <c r="B618" s="286"/>
      <c r="C618" s="119"/>
      <c r="D618" s="119"/>
      <c r="E618" s="119"/>
      <c r="F618" s="119"/>
      <c r="G618" s="119"/>
      <c r="H618" s="119"/>
      <c r="I618" s="119"/>
      <c r="J618" s="119"/>
      <c r="K618" s="119"/>
      <c r="L618" s="40">
        <v>3.37</v>
      </c>
      <c r="M618" s="40">
        <v>4.1100000000000003</v>
      </c>
      <c r="N618" s="119"/>
      <c r="O618" s="119"/>
      <c r="P618" s="119"/>
      <c r="Q618" s="119"/>
      <c r="R618" s="119"/>
      <c r="S618" s="285">
        <v>6.31</v>
      </c>
      <c r="T618" s="38">
        <f>ROUND((L618*I613+1.3*L618*K613+S618*H613),4)</f>
        <v>5500.326</v>
      </c>
      <c r="U618" s="38">
        <f>ROUND((M618*0.9*I613+1.3*M618*0.9*K613+S618*H613),4)</f>
        <v>6000.3401999999996</v>
      </c>
      <c r="V618" s="38">
        <f>ROUND((M618*I613+1.3*M618*K613+S618*H613),4)</f>
        <v>6624.9780000000001</v>
      </c>
      <c r="W618" s="38">
        <f>ROUND((L618*J613+1.3*L618*N613+S618*G613),4)</f>
        <v>128.85</v>
      </c>
      <c r="X618" s="38">
        <f>ROUND((M618*0.9*J613+1.3*M618*0.9*N613+S618*G613),4)</f>
        <v>137.733</v>
      </c>
      <c r="Y618" s="38">
        <f>ROUND((M618*J613+1.3*M618*N613+S618*G613),4)</f>
        <v>148.83000000000001</v>
      </c>
      <c r="Z618" s="276">
        <f>ROUND((P613*T618*F613*O613/1000000),4)</f>
        <v>0</v>
      </c>
      <c r="AA618" s="276">
        <f>ROUND((Q613*U618*F613*O613/1000000),4)</f>
        <v>0.18</v>
      </c>
      <c r="AB618" s="276">
        <f>ROUND((R613*V618*F613*O613/1000000),4)</f>
        <v>0.39750000000000002</v>
      </c>
      <c r="AC618" s="277" t="s">
        <v>157</v>
      </c>
      <c r="AD618" s="278" t="s">
        <v>153</v>
      </c>
      <c r="AE618" s="40">
        <f>ROUND((((X618*E613)/1800)),4)</f>
        <v>7.6499999999999999E-2</v>
      </c>
      <c r="AF618" s="40">
        <f>ROUND(((Z618+AA618+AB618)),4)</f>
        <v>0.57750000000000001</v>
      </c>
      <c r="AG618" s="254"/>
      <c r="AH618" s="254"/>
    </row>
    <row r="619" spans="1:34" s="61" customFormat="1" ht="15" customHeight="1" x14ac:dyDescent="0.25">
      <c r="A619" s="260"/>
      <c r="B619" s="287" t="s">
        <v>558</v>
      </c>
      <c r="C619" s="38">
        <v>6</v>
      </c>
      <c r="D619" s="38" t="s">
        <v>556</v>
      </c>
      <c r="E619" s="38">
        <v>1</v>
      </c>
      <c r="F619" s="38">
        <v>7</v>
      </c>
      <c r="G619" s="38">
        <v>6</v>
      </c>
      <c r="H619" s="38">
        <v>60</v>
      </c>
      <c r="I619" s="38">
        <f>(8-1-0.75*2)*60*F619-K619-8*0.12*60</f>
        <v>750.9</v>
      </c>
      <c r="J619" s="38">
        <v>14</v>
      </c>
      <c r="K619" s="38">
        <f>(8-1-0.75*2)*0.65*60*F619</f>
        <v>1501.5</v>
      </c>
      <c r="L619" s="38">
        <v>6.47</v>
      </c>
      <c r="M619" s="38">
        <v>6.47</v>
      </c>
      <c r="N619" s="38">
        <v>10</v>
      </c>
      <c r="O619" s="38">
        <f>E619/F619</f>
        <v>0.14285714285714285</v>
      </c>
      <c r="P619" s="38">
        <v>0</v>
      </c>
      <c r="Q619" s="38">
        <v>30</v>
      </c>
      <c r="R619" s="275">
        <v>60</v>
      </c>
      <c r="S619" s="275">
        <v>1.27</v>
      </c>
      <c r="T619" s="38">
        <f>ROUND((L619*I619+1.3*L619*K619+S619*H619),4)</f>
        <v>17563.639500000001</v>
      </c>
      <c r="U619" s="38">
        <f>ROUND((M619*I619+1.3*M619*K619+S619*H619),4)</f>
        <v>17563.639500000001</v>
      </c>
      <c r="V619" s="38">
        <f>ROUND((M619*I619+1.3*M619*K619+S619*H619),4)</f>
        <v>17563.639500000001</v>
      </c>
      <c r="W619" s="38">
        <f>ROUND((L619*J619+1.3*L619*N619+S619*G619),4)</f>
        <v>182.31</v>
      </c>
      <c r="X619" s="38">
        <f>ROUND((M619*J619+1.3*M619*N619+S619*G619),4)</f>
        <v>182.31</v>
      </c>
      <c r="Y619" s="38">
        <f>ROUND((M619*J619+1.3*M619*N619+S619*G619),4)</f>
        <v>182.31</v>
      </c>
      <c r="Z619" s="276">
        <f>ROUND((P619*T619*F619*O619/1000000),4)</f>
        <v>0</v>
      </c>
      <c r="AA619" s="276">
        <f>ROUND((Q619*U619*F619*O619/1000000),4)</f>
        <v>0.52690000000000003</v>
      </c>
      <c r="AB619" s="276">
        <f>ROUND((R619*V619*F619*O619/1000000),4)</f>
        <v>1.0538000000000001</v>
      </c>
      <c r="AC619" s="277" t="s">
        <v>165</v>
      </c>
      <c r="AD619" s="278" t="s">
        <v>144</v>
      </c>
      <c r="AE619" s="40">
        <f>ROUND((((X619*E619)/1800)*0.8),4)</f>
        <v>8.1000000000000003E-2</v>
      </c>
      <c r="AF619" s="40">
        <f>ROUND(((Z619+AA619+AB619)*0.8),4)</f>
        <v>1.2645999999999999</v>
      </c>
      <c r="AG619" s="254"/>
      <c r="AH619" s="254"/>
    </row>
    <row r="620" spans="1:34" s="61" customFormat="1" ht="15" customHeight="1" x14ac:dyDescent="0.25">
      <c r="A620" s="260"/>
      <c r="B620" s="280" t="s">
        <v>559</v>
      </c>
      <c r="C620" s="39"/>
      <c r="D620" s="39"/>
      <c r="E620" s="39"/>
      <c r="F620" s="39"/>
      <c r="G620" s="39"/>
      <c r="H620" s="39"/>
      <c r="I620" s="39"/>
      <c r="J620" s="39"/>
      <c r="K620" s="39"/>
      <c r="L620" s="119"/>
      <c r="M620" s="119"/>
      <c r="N620" s="39"/>
      <c r="O620" s="39"/>
      <c r="P620" s="39"/>
      <c r="Q620" s="39"/>
      <c r="R620" s="39"/>
      <c r="S620" s="281"/>
      <c r="T620" s="39"/>
      <c r="U620" s="39"/>
      <c r="V620" s="39"/>
      <c r="W620" s="39"/>
      <c r="X620" s="39"/>
      <c r="Y620" s="39"/>
      <c r="Z620" s="39"/>
      <c r="AA620" s="39"/>
      <c r="AB620" s="39"/>
      <c r="AC620" s="277" t="s">
        <v>166</v>
      </c>
      <c r="AD620" s="278" t="s">
        <v>167</v>
      </c>
      <c r="AE620" s="40">
        <f>ROUND((((X619*E619)/1800)*0.13),4)</f>
        <v>1.32E-2</v>
      </c>
      <c r="AF620" s="40">
        <f>ROUND(((Z619+AA619+AB619)*0.13),4)</f>
        <v>0.20549999999999999</v>
      </c>
      <c r="AG620" s="254"/>
      <c r="AH620" s="254"/>
    </row>
    <row r="621" spans="1:34" s="61" customFormat="1" ht="15" customHeight="1" x14ac:dyDescent="0.25">
      <c r="A621" s="260"/>
      <c r="B621" s="288"/>
      <c r="C621" s="283"/>
      <c r="D621" s="283"/>
      <c r="E621" s="39"/>
      <c r="F621" s="39"/>
      <c r="G621" s="39"/>
      <c r="H621" s="39"/>
      <c r="I621" s="39"/>
      <c r="J621" s="39"/>
      <c r="K621" s="39"/>
      <c r="L621" s="40">
        <v>0.51</v>
      </c>
      <c r="M621" s="40">
        <v>0.63</v>
      </c>
      <c r="N621" s="39"/>
      <c r="O621" s="39"/>
      <c r="P621" s="39"/>
      <c r="Q621" s="39"/>
      <c r="R621" s="39"/>
      <c r="S621" s="284">
        <v>0.25</v>
      </c>
      <c r="T621" s="38">
        <f>ROUND((L621*I619+1.3*L621*K619+S621*H619),4)</f>
        <v>1393.4535000000001</v>
      </c>
      <c r="U621" s="38">
        <f>ROUND((M621*0.9*I619+1.3*M621*0.9*K619+S621*H619),4)</f>
        <v>1547.5160000000001</v>
      </c>
      <c r="V621" s="38">
        <f>ROUND((M621*I619+1.3*M621*K619+S621*H619),4)</f>
        <v>1717.7954999999999</v>
      </c>
      <c r="W621" s="38">
        <f>ROUND((L621*J619+1.3*L621*N619+S621*G619),4)</f>
        <v>15.27</v>
      </c>
      <c r="X621" s="38">
        <f>ROUND((M621*0.9*J619+1.3*M621*0.9*N619+S621*G619),4)</f>
        <v>16.809000000000001</v>
      </c>
      <c r="Y621" s="38">
        <f>ROUND((M621*J619+1.3*M621*N619+S621*G619),4)</f>
        <v>18.510000000000002</v>
      </c>
      <c r="Z621" s="276">
        <f>ROUND((P619*T621*F619*O619/1000000),4)</f>
        <v>0</v>
      </c>
      <c r="AA621" s="276">
        <f>ROUND((Q619*U621*F619*O619/1000000),4)</f>
        <v>4.6399999999999997E-2</v>
      </c>
      <c r="AB621" s="276">
        <f>ROUND((R619*V621*F619*O619/1000000),4)</f>
        <v>0.1031</v>
      </c>
      <c r="AC621" s="277" t="s">
        <v>547</v>
      </c>
      <c r="AD621" s="278" t="s">
        <v>169</v>
      </c>
      <c r="AE621" s="40">
        <f>ROUND((((X621*E619)/1800)),4)</f>
        <v>9.2999999999999992E-3</v>
      </c>
      <c r="AF621" s="40">
        <f>ROUND(((Z621+AA621+AB621)),5)</f>
        <v>0.14949999999999999</v>
      </c>
      <c r="AG621" s="254"/>
      <c r="AH621" s="254"/>
    </row>
    <row r="622" spans="1:34" s="61" customFormat="1" ht="15" customHeight="1" x14ac:dyDescent="0.25">
      <c r="A622" s="260"/>
      <c r="B622" s="288"/>
      <c r="C622" s="39"/>
      <c r="D622" s="39"/>
      <c r="E622" s="39"/>
      <c r="F622" s="39"/>
      <c r="G622" s="39"/>
      <c r="H622" s="39"/>
      <c r="I622" s="39"/>
      <c r="J622" s="39"/>
      <c r="K622" s="39"/>
      <c r="L622" s="40">
        <v>1.1399999999999999</v>
      </c>
      <c r="M622" s="40">
        <v>1.37</v>
      </c>
      <c r="N622" s="39"/>
      <c r="O622" s="39"/>
      <c r="P622" s="39"/>
      <c r="Q622" s="39"/>
      <c r="R622" s="39"/>
      <c r="S622" s="285">
        <v>0.79</v>
      </c>
      <c r="T622" s="38">
        <f>ROUND((L622*I619+1.3*L622*K619+S622*H619),4)</f>
        <v>3128.6489999999999</v>
      </c>
      <c r="U622" s="38">
        <f>ROUND((M622*0.9*I619+1.3*M622*0.9*K619+S622*H619),4)</f>
        <v>3380.0140999999999</v>
      </c>
      <c r="V622" s="38">
        <f>ROUND((M622*I619+1.3*M622*K619+S622*H619),4)</f>
        <v>3750.3045000000002</v>
      </c>
      <c r="W622" s="38">
        <f>ROUND((L622*J619+1.3*L622*N619+S622*G619),4)</f>
        <v>35.520000000000003</v>
      </c>
      <c r="X622" s="38">
        <f>ROUND((M622*0.9*J619+1.3*M622*0.9*N619+S622*G619),4)</f>
        <v>38.030999999999999</v>
      </c>
      <c r="Y622" s="38">
        <f>ROUND((M622*J619+1.3*N619+S622*G619),4)</f>
        <v>36.92</v>
      </c>
      <c r="Z622" s="276">
        <f>ROUND((P619*T622*F619*O619/1000000),4)</f>
        <v>0</v>
      </c>
      <c r="AA622" s="276">
        <f>ROUND((Q619*U622*F619*O619/1000000),4)</f>
        <v>0.1014</v>
      </c>
      <c r="AB622" s="276">
        <f>ROUND((R619*V622*F619*O619/1000000),4)</f>
        <v>0.22500000000000001</v>
      </c>
      <c r="AC622" s="277" t="s">
        <v>548</v>
      </c>
      <c r="AD622" s="278" t="s">
        <v>549</v>
      </c>
      <c r="AE622" s="40">
        <f>ROUND((((X622*E619)/1800)),4)</f>
        <v>2.1100000000000001E-2</v>
      </c>
      <c r="AF622" s="40">
        <f>ROUND(((Z622+AA622+AB622)),4)</f>
        <v>0.32640000000000002</v>
      </c>
      <c r="AG622" s="254"/>
      <c r="AH622" s="254"/>
    </row>
    <row r="623" spans="1:34" s="61" customFormat="1" ht="15" customHeight="1" x14ac:dyDescent="0.25">
      <c r="A623" s="260"/>
      <c r="B623" s="280"/>
      <c r="C623" s="39"/>
      <c r="D623" s="39"/>
      <c r="E623" s="39"/>
      <c r="F623" s="39"/>
      <c r="G623" s="39"/>
      <c r="H623" s="39"/>
      <c r="I623" s="39"/>
      <c r="J623" s="39"/>
      <c r="K623" s="39"/>
      <c r="L623" s="40">
        <v>0.72</v>
      </c>
      <c r="M623" s="40">
        <v>1.08</v>
      </c>
      <c r="N623" s="39"/>
      <c r="O623" s="39"/>
      <c r="P623" s="39"/>
      <c r="Q623" s="39"/>
      <c r="R623" s="39"/>
      <c r="S623" s="285">
        <v>0.17</v>
      </c>
      <c r="T623" s="38">
        <f>ROUND((L623*I619+1.3*L623*K619+S623*H619),4)</f>
        <v>1956.252</v>
      </c>
      <c r="U623" s="38">
        <f>ROUND((M623*0.9*I619+1.3*M623*0.9*K619+S623*H619),4)</f>
        <v>2637.3701999999998</v>
      </c>
      <c r="V623" s="38">
        <f>ROUND((M623*I619+1.3*M623*K619+S623*H619),4)</f>
        <v>2929.2779999999998</v>
      </c>
      <c r="W623" s="38">
        <f>ROUND((L623*J619+1.3*L623*N619+S623*G619),4)</f>
        <v>20.46</v>
      </c>
      <c r="X623" s="38">
        <f>ROUND((M623*0.9*J619+1.3*M623*0.9*N619+S623*G619),4)</f>
        <v>27.263999999999999</v>
      </c>
      <c r="Y623" s="38">
        <f>ROUND((M623*J619+1.3*M623*N619+S623*G619),4)</f>
        <v>30.18</v>
      </c>
      <c r="Z623" s="276">
        <f>ROUND((P619*T623*F619*O619/1000000),4)</f>
        <v>0</v>
      </c>
      <c r="AA623" s="276">
        <f>ROUND((Q619*U623*F619*O619/1000000),4)</f>
        <v>7.9100000000000004E-2</v>
      </c>
      <c r="AB623" s="276">
        <f>ROUND((R619*V623*F619*O619/1000000),4)</f>
        <v>0.17580000000000001</v>
      </c>
      <c r="AC623" s="277" t="s">
        <v>172</v>
      </c>
      <c r="AD623" s="278" t="s">
        <v>173</v>
      </c>
      <c r="AE623" s="40">
        <f>ROUND((((X623*E619)/1800)),4)</f>
        <v>1.5100000000000001E-2</v>
      </c>
      <c r="AF623" s="40">
        <f>ROUND(((Z623+AA623+AB623)),4)</f>
        <v>0.25490000000000002</v>
      </c>
      <c r="AG623" s="254"/>
      <c r="AH623" s="254"/>
    </row>
    <row r="624" spans="1:34" s="61" customFormat="1" ht="15" customHeight="1" x14ac:dyDescent="0.25">
      <c r="A624" s="260"/>
      <c r="B624" s="286"/>
      <c r="C624" s="119"/>
      <c r="D624" s="119"/>
      <c r="E624" s="119"/>
      <c r="F624" s="119"/>
      <c r="G624" s="119"/>
      <c r="H624" s="119"/>
      <c r="I624" s="119"/>
      <c r="J624" s="119"/>
      <c r="K624" s="119"/>
      <c r="L624" s="40">
        <v>3.37</v>
      </c>
      <c r="M624" s="40">
        <v>4.1100000000000003</v>
      </c>
      <c r="N624" s="119"/>
      <c r="O624" s="119"/>
      <c r="P624" s="119"/>
      <c r="Q624" s="119"/>
      <c r="R624" s="119"/>
      <c r="S624" s="285">
        <v>6.31</v>
      </c>
      <c r="T624" s="38">
        <f>ROUND((L624*I619+1.3*L624*K619+S624*H619),4)</f>
        <v>9487.2044999999998</v>
      </c>
      <c r="U624" s="38">
        <f>ROUND((M624*0.9*I619+1.3*M624*0.9*K619+S624*H619),4)</f>
        <v>10376.4422</v>
      </c>
      <c r="V624" s="38">
        <f>ROUND((M624*I619+1.3*M624*K619+S624*H619),4)</f>
        <v>11487.3135</v>
      </c>
      <c r="W624" s="38">
        <f>ROUND((L624*J619+1.3*L624*N619+S624*G619),4)</f>
        <v>128.85</v>
      </c>
      <c r="X624" s="38">
        <f>ROUND((M624*0.9*J619+1.3*M624*0.9*N619+S624*G619),4)</f>
        <v>137.733</v>
      </c>
      <c r="Y624" s="38">
        <f>ROUND((M624*J619+1.3*M624*N619+S624*G619),4)</f>
        <v>148.83000000000001</v>
      </c>
      <c r="Z624" s="276">
        <f>ROUND((P619*T624*F619*O619/1000000),4)</f>
        <v>0</v>
      </c>
      <c r="AA624" s="276">
        <f>ROUND((Q619*U624*F619*O619/1000000),4)</f>
        <v>0.31130000000000002</v>
      </c>
      <c r="AB624" s="276">
        <f>ROUND((R619*V624*F619*O619/1000000),4)</f>
        <v>0.68920000000000003</v>
      </c>
      <c r="AC624" s="277" t="s">
        <v>157</v>
      </c>
      <c r="AD624" s="278" t="s">
        <v>153</v>
      </c>
      <c r="AE624" s="40">
        <f>ROUND((((X624*E619)/1800)),4)</f>
        <v>7.6499999999999999E-2</v>
      </c>
      <c r="AF624" s="40">
        <f>ROUND(((Z624+AA624+AB624)),4)</f>
        <v>1.0004999999999999</v>
      </c>
      <c r="AG624" s="254"/>
      <c r="AH624" s="254"/>
    </row>
    <row r="625" spans="1:35" s="61" customFormat="1" ht="15" customHeight="1" x14ac:dyDescent="0.25">
      <c r="A625" s="260"/>
      <c r="B625" s="287" t="s">
        <v>558</v>
      </c>
      <c r="C625" s="38">
        <v>7</v>
      </c>
      <c r="D625" s="38" t="s">
        <v>560</v>
      </c>
      <c r="E625" s="38">
        <v>1</v>
      </c>
      <c r="F625" s="38">
        <v>3</v>
      </c>
      <c r="G625" s="38">
        <v>6</v>
      </c>
      <c r="H625" s="38">
        <v>60</v>
      </c>
      <c r="I625" s="38">
        <f>(8-1-0.75*2)*60*F625-K625-8*0.12*60</f>
        <v>288.89999999999998</v>
      </c>
      <c r="J625" s="38">
        <v>14</v>
      </c>
      <c r="K625" s="38">
        <f>(8-1-0.75*2)*0.65*60*F625</f>
        <v>643.5</v>
      </c>
      <c r="L625" s="38">
        <v>10.16</v>
      </c>
      <c r="M625" s="38">
        <v>10.16</v>
      </c>
      <c r="N625" s="38">
        <v>10</v>
      </c>
      <c r="O625" s="38">
        <f>E625/F625</f>
        <v>0.33333333333333331</v>
      </c>
      <c r="P625" s="38">
        <v>0</v>
      </c>
      <c r="Q625" s="38">
        <v>30</v>
      </c>
      <c r="R625" s="275">
        <v>60</v>
      </c>
      <c r="S625" s="275">
        <v>1.99</v>
      </c>
      <c r="T625" s="38">
        <f>ROUND((L625*I625+1.3*L625*K625+S625*H625),4)</f>
        <v>11553.972</v>
      </c>
      <c r="U625" s="38">
        <f>ROUND((M625*I625+1.3*M625*K625+S625*H625),4)</f>
        <v>11553.972</v>
      </c>
      <c r="V625" s="38">
        <f>ROUND((M625*I625+1.3*M625*K625+S625*H625),4)</f>
        <v>11553.972</v>
      </c>
      <c r="W625" s="38">
        <f>ROUND((L625*J625+1.3*L625*N625+S625*G625),4)</f>
        <v>286.26</v>
      </c>
      <c r="X625" s="38">
        <f>ROUND((M625*J625+1.3*M625*N625+S625*G625),4)</f>
        <v>286.26</v>
      </c>
      <c r="Y625" s="38">
        <f>ROUND((M625*J625+1.3*M625*N625+S625*G625),4)</f>
        <v>286.26</v>
      </c>
      <c r="Z625" s="276">
        <f>ROUND((P625*T625*F625*O625/1000000),4)</f>
        <v>0</v>
      </c>
      <c r="AA625" s="276">
        <f>ROUND((Q625*U625*F625*O625/1000000),4)</f>
        <v>0.34660000000000002</v>
      </c>
      <c r="AB625" s="276">
        <f>ROUND((R625*V625*F625*O625/1000000),4)</f>
        <v>0.69320000000000004</v>
      </c>
      <c r="AC625" s="277" t="s">
        <v>165</v>
      </c>
      <c r="AD625" s="278" t="s">
        <v>144</v>
      </c>
      <c r="AE625" s="40">
        <f>ROUND((((X625*E625)/1800)*0.8),4)</f>
        <v>0.12720000000000001</v>
      </c>
      <c r="AF625" s="40">
        <f>ROUND(((Z625+AA625+AB625)*0.8),4)</f>
        <v>0.83179999999999998</v>
      </c>
      <c r="AG625" s="254"/>
      <c r="AH625" s="254"/>
    </row>
    <row r="626" spans="1:35" s="61" customFormat="1" ht="15" customHeight="1" x14ac:dyDescent="0.25">
      <c r="A626" s="260"/>
      <c r="B626" s="280" t="s">
        <v>561</v>
      </c>
      <c r="C626" s="39"/>
      <c r="D626" s="39"/>
      <c r="E626" s="39"/>
      <c r="F626" s="39"/>
      <c r="G626" s="39"/>
      <c r="H626" s="39"/>
      <c r="I626" s="39"/>
      <c r="J626" s="39"/>
      <c r="K626" s="39"/>
      <c r="L626" s="119"/>
      <c r="M626" s="119"/>
      <c r="N626" s="39"/>
      <c r="O626" s="39"/>
      <c r="P626" s="39"/>
      <c r="Q626" s="39"/>
      <c r="R626" s="39"/>
      <c r="S626" s="281"/>
      <c r="T626" s="39"/>
      <c r="U626" s="39"/>
      <c r="V626" s="39"/>
      <c r="W626" s="39"/>
      <c r="X626" s="39"/>
      <c r="Y626" s="39"/>
      <c r="Z626" s="39"/>
      <c r="AA626" s="39"/>
      <c r="AB626" s="39"/>
      <c r="AC626" s="277" t="s">
        <v>166</v>
      </c>
      <c r="AD626" s="278" t="s">
        <v>167</v>
      </c>
      <c r="AE626" s="40">
        <f>ROUND((((X625*E625)/1800)*0.13),4)</f>
        <v>2.07E-2</v>
      </c>
      <c r="AF626" s="40">
        <f>ROUND(((Z625+AA625+AB625)*0.13),4)</f>
        <v>0.13519999999999999</v>
      </c>
      <c r="AG626" s="254"/>
      <c r="AH626" s="254"/>
    </row>
    <row r="627" spans="1:35" s="61" customFormat="1" ht="15" customHeight="1" x14ac:dyDescent="0.25">
      <c r="A627" s="260"/>
      <c r="B627" s="288"/>
      <c r="C627" s="283"/>
      <c r="D627" s="283"/>
      <c r="E627" s="39"/>
      <c r="F627" s="39"/>
      <c r="G627" s="39"/>
      <c r="H627" s="39"/>
      <c r="I627" s="39"/>
      <c r="J627" s="39"/>
      <c r="K627" s="39"/>
      <c r="L627" s="40">
        <v>0.8</v>
      </c>
      <c r="M627" s="40">
        <v>0.98</v>
      </c>
      <c r="N627" s="39"/>
      <c r="O627" s="39"/>
      <c r="P627" s="39"/>
      <c r="Q627" s="39"/>
      <c r="R627" s="39"/>
      <c r="S627" s="284">
        <v>0.39</v>
      </c>
      <c r="T627" s="38">
        <f>ROUND((L627*I625+1.3*L627*K625+S627*H625),4)</f>
        <v>923.76</v>
      </c>
      <c r="U627" s="38">
        <f>ROUND((M627*0.9*I625+1.3*M627*0.9*K625+S627*H625),4)</f>
        <v>1016.0469000000001</v>
      </c>
      <c r="V627" s="38">
        <f>ROUND((M627*I625+1.3*M627*K625+S627*H625),4)</f>
        <v>1126.3409999999999</v>
      </c>
      <c r="W627" s="38">
        <f>ROUND((L627*J625+1.3*L627*N625+S627*G625),4)</f>
        <v>23.94</v>
      </c>
      <c r="X627" s="38">
        <f>ROUND((M627*0.9*J625+1.3*M627*0.9*N625+S627*G625),4)</f>
        <v>26.154</v>
      </c>
      <c r="Y627" s="38">
        <f>ROUND((M627*J625+1.3*M627*N625+S627*G625),4)</f>
        <v>28.8</v>
      </c>
      <c r="Z627" s="276">
        <f>ROUND((P625*T627*F625*O625/1000000),4)</f>
        <v>0</v>
      </c>
      <c r="AA627" s="276">
        <f>ROUND((Q625*U627*F625*O625/1000000),4)</f>
        <v>3.0499999999999999E-2</v>
      </c>
      <c r="AB627" s="276">
        <f>ROUND((R625*V627*F625*O625/1000000),4)</f>
        <v>6.7599999999999993E-2</v>
      </c>
      <c r="AC627" s="277" t="s">
        <v>547</v>
      </c>
      <c r="AD627" s="278" t="s">
        <v>169</v>
      </c>
      <c r="AE627" s="40">
        <f>ROUND((((X627*E625)/1800)),4)</f>
        <v>1.4500000000000001E-2</v>
      </c>
      <c r="AF627" s="40">
        <f>ROUND(((Z627+AA627+AB627)),5)</f>
        <v>9.8100000000000007E-2</v>
      </c>
      <c r="AG627" s="254"/>
      <c r="AH627" s="254"/>
    </row>
    <row r="628" spans="1:35" s="61" customFormat="1" ht="15" customHeight="1" x14ac:dyDescent="0.25">
      <c r="A628" s="260"/>
      <c r="B628" s="288"/>
      <c r="C628" s="39"/>
      <c r="D628" s="39"/>
      <c r="E628" s="39"/>
      <c r="F628" s="39"/>
      <c r="G628" s="39"/>
      <c r="H628" s="39"/>
      <c r="I628" s="39"/>
      <c r="J628" s="39"/>
      <c r="K628" s="39"/>
      <c r="L628" s="40">
        <v>1.79</v>
      </c>
      <c r="M628" s="40">
        <v>2.15</v>
      </c>
      <c r="N628" s="39"/>
      <c r="O628" s="39"/>
      <c r="P628" s="39"/>
      <c r="Q628" s="39"/>
      <c r="R628" s="39"/>
      <c r="S628" s="285">
        <v>1.24</v>
      </c>
      <c r="T628" s="38">
        <f>ROUND((L628*I625+1.3*L628*K625+S628*H625),4)</f>
        <v>2088.9555</v>
      </c>
      <c r="U628" s="38">
        <f>ROUND((M628*0.9*I625+1.3*M628*0.9*K625+S628*H625),4)</f>
        <v>2252.1457999999998</v>
      </c>
      <c r="V628" s="38">
        <f>ROUND((M628*I625+1.3*M628*K625+S628*H625),4)</f>
        <v>2494.1174999999998</v>
      </c>
      <c r="W628" s="38">
        <f>ROUND((L628*J625+1.3*L628*N625+S628*G625),4)</f>
        <v>55.77</v>
      </c>
      <c r="X628" s="38">
        <f>ROUND((M628*0.9*J625+1.3*M628*0.9*N625+S628*G625),4)</f>
        <v>59.685000000000002</v>
      </c>
      <c r="Y628" s="38">
        <f>ROUND((M628*J625+1.3*N625+S628*G625),4)</f>
        <v>50.54</v>
      </c>
      <c r="Z628" s="276">
        <f>ROUND((P625*T628*F625*O625/1000000),4)</f>
        <v>0</v>
      </c>
      <c r="AA628" s="276">
        <f>ROUND((Q625*U628*F625*O625/1000000),4)</f>
        <v>6.7599999999999993E-2</v>
      </c>
      <c r="AB628" s="276">
        <f>ROUND((R625*V628*F625*O625/1000000),4)</f>
        <v>0.14960000000000001</v>
      </c>
      <c r="AC628" s="277" t="s">
        <v>548</v>
      </c>
      <c r="AD628" s="278" t="s">
        <v>549</v>
      </c>
      <c r="AE628" s="40">
        <f>ROUND((((X628*E625)/1800)),4)</f>
        <v>3.32E-2</v>
      </c>
      <c r="AF628" s="40">
        <f>ROUND(((Z628+AA628+AB628)),4)</f>
        <v>0.2172</v>
      </c>
      <c r="AG628" s="254"/>
      <c r="AH628" s="254"/>
    </row>
    <row r="629" spans="1:35" s="61" customFormat="1" ht="15" customHeight="1" x14ac:dyDescent="0.25">
      <c r="A629" s="260"/>
      <c r="B629" s="280"/>
      <c r="C629" s="39"/>
      <c r="D629" s="39"/>
      <c r="E629" s="39"/>
      <c r="F629" s="39"/>
      <c r="G629" s="39"/>
      <c r="H629" s="39"/>
      <c r="I629" s="39"/>
      <c r="J629" s="39"/>
      <c r="K629" s="39"/>
      <c r="L629" s="40">
        <v>1.1299999999999999</v>
      </c>
      <c r="M629" s="40">
        <v>1.7</v>
      </c>
      <c r="N629" s="39"/>
      <c r="O629" s="39"/>
      <c r="P629" s="39"/>
      <c r="Q629" s="39"/>
      <c r="R629" s="39"/>
      <c r="S629" s="285">
        <v>0.26</v>
      </c>
      <c r="T629" s="38">
        <f>ROUND((L629*I625+1.3*L629*K625+S629*H625),4)</f>
        <v>1287.3585</v>
      </c>
      <c r="U629" s="38">
        <f>ROUND((M629*0.9*I625+1.3*M629*0.9*K625+S629*H625),4)</f>
        <v>1737.5385000000001</v>
      </c>
      <c r="V629" s="38">
        <f>ROUND((M629*I625+1.3*M629*K625+S629*H625),4)</f>
        <v>1928.865</v>
      </c>
      <c r="W629" s="38">
        <f>ROUND((L629*J625+1.3*L629*N625+S629*G625),4)</f>
        <v>32.07</v>
      </c>
      <c r="X629" s="38">
        <f>ROUND((M629*0.9*J625+1.3*M629*0.9*N625+S629*G625),4)</f>
        <v>42.87</v>
      </c>
      <c r="Y629" s="38">
        <f>ROUND((M629*J625+1.3*M629*N625+S629*G625),4)</f>
        <v>47.46</v>
      </c>
      <c r="Z629" s="276">
        <f>ROUND((P625*T629*F625*O625/1000000),4)</f>
        <v>0</v>
      </c>
      <c r="AA629" s="276">
        <f>ROUND((Q625*U629*F625*O625/1000000),4)</f>
        <v>5.21E-2</v>
      </c>
      <c r="AB629" s="276">
        <f>ROUND((R625*V629*F625*O625/1000000),4)</f>
        <v>0.1157</v>
      </c>
      <c r="AC629" s="277" t="s">
        <v>172</v>
      </c>
      <c r="AD629" s="278" t="s">
        <v>173</v>
      </c>
      <c r="AE629" s="40">
        <f>ROUND((((X629*E625)/1800)),4)</f>
        <v>2.3800000000000002E-2</v>
      </c>
      <c r="AF629" s="40">
        <f>ROUND(((Z629+AA629+AB629)),4)</f>
        <v>0.1678</v>
      </c>
      <c r="AG629" s="254"/>
      <c r="AH629" s="254"/>
    </row>
    <row r="630" spans="1:35" s="61" customFormat="1" ht="15" customHeight="1" x14ac:dyDescent="0.25">
      <c r="A630" s="260"/>
      <c r="B630" s="286"/>
      <c r="C630" s="119"/>
      <c r="D630" s="119"/>
      <c r="E630" s="119"/>
      <c r="F630" s="119"/>
      <c r="G630" s="119"/>
      <c r="H630" s="119"/>
      <c r="I630" s="119"/>
      <c r="J630" s="119"/>
      <c r="K630" s="119"/>
      <c r="L630" s="40">
        <v>5.3</v>
      </c>
      <c r="M630" s="40">
        <v>6.47</v>
      </c>
      <c r="N630" s="119"/>
      <c r="O630" s="119"/>
      <c r="P630" s="119"/>
      <c r="Q630" s="119"/>
      <c r="R630" s="119"/>
      <c r="S630" s="285">
        <v>9.92</v>
      </c>
      <c r="T630" s="38">
        <f>ROUND((L630*I625+1.3*L630*K625+S630*H625),4)</f>
        <v>6560.085</v>
      </c>
      <c r="U630" s="38">
        <f>ROUND((M630*0.9*I625+1.3*M630*0.9*K625+S630*H625),4)</f>
        <v>7148.6953999999996</v>
      </c>
      <c r="V630" s="38">
        <f>ROUND((M630*I625+1.3*M630*K625+S630*H625),4)</f>
        <v>7876.8615</v>
      </c>
      <c r="W630" s="38">
        <f>ROUND((L630*J625+1.3*L630*N625+S630*G625),4)</f>
        <v>202.62</v>
      </c>
      <c r="X630" s="38">
        <f>ROUND((M630*0.9*J625+1.3*M630*0.9*N625+S630*G625),4)</f>
        <v>216.74100000000001</v>
      </c>
      <c r="Y630" s="38">
        <f>ROUND((M630*J625+1.3*M630*N625+S630*G625),4)</f>
        <v>234.21</v>
      </c>
      <c r="Z630" s="276">
        <f>ROUND((P625*T630*F625*O625/1000000),4)</f>
        <v>0</v>
      </c>
      <c r="AA630" s="276">
        <f>ROUND((Q625*U630*F625*O625/1000000),4)</f>
        <v>0.2145</v>
      </c>
      <c r="AB630" s="276">
        <f>ROUND((R625*V630*F625*O625/1000000),4)</f>
        <v>0.47260000000000002</v>
      </c>
      <c r="AC630" s="277" t="s">
        <v>157</v>
      </c>
      <c r="AD630" s="278" t="s">
        <v>153</v>
      </c>
      <c r="AE630" s="40">
        <f>ROUND((((X630*E625)/1800)),4)</f>
        <v>0.12039999999999999</v>
      </c>
      <c r="AF630" s="40">
        <f>ROUND(((Z630+AA630+AB630)),4)</f>
        <v>0.68710000000000004</v>
      </c>
      <c r="AG630" s="254"/>
      <c r="AH630" s="254"/>
    </row>
    <row r="631" spans="1:35" s="61" customFormat="1" ht="15" customHeight="1" x14ac:dyDescent="0.25">
      <c r="A631" s="260"/>
      <c r="B631" s="1641" t="s">
        <v>562</v>
      </c>
      <c r="C631" s="38">
        <v>7</v>
      </c>
      <c r="D631" s="38" t="s">
        <v>560</v>
      </c>
      <c r="E631" s="38">
        <v>3</v>
      </c>
      <c r="F631" s="38">
        <v>12</v>
      </c>
      <c r="G631" s="38">
        <v>6</v>
      </c>
      <c r="H631" s="38">
        <v>60</v>
      </c>
      <c r="I631" s="38">
        <f>(8-1-0.75*2)*60*F631-K631-8*0.12*60</f>
        <v>1328.4</v>
      </c>
      <c r="J631" s="38">
        <v>14</v>
      </c>
      <c r="K631" s="38">
        <f>(8-1-0.75*2)*0.65*60*F631</f>
        <v>2574</v>
      </c>
      <c r="L631" s="38">
        <v>10.16</v>
      </c>
      <c r="M631" s="38">
        <v>10.16</v>
      </c>
      <c r="N631" s="38">
        <v>10</v>
      </c>
      <c r="O631" s="38">
        <f>E631/F631</f>
        <v>0.25</v>
      </c>
      <c r="P631" s="38">
        <v>0</v>
      </c>
      <c r="Q631" s="38">
        <v>30</v>
      </c>
      <c r="R631" s="275">
        <v>60</v>
      </c>
      <c r="S631" s="275">
        <v>1.99</v>
      </c>
      <c r="T631" s="38">
        <f>ROUND((L631*I631+1.3*L631*K631+S631*H631),4)</f>
        <v>47613.336000000003</v>
      </c>
      <c r="U631" s="38">
        <f>ROUND((M631*I631+1.3*M631*K631+S631*H631),4)</f>
        <v>47613.336000000003</v>
      </c>
      <c r="V631" s="38">
        <f>ROUND((M631*I631+1.3*M631*K631+S631*H631),4)</f>
        <v>47613.336000000003</v>
      </c>
      <c r="W631" s="38">
        <f>ROUND((L631*J631+1.3*L631*N631+S631*G631),4)</f>
        <v>286.26</v>
      </c>
      <c r="X631" s="38">
        <f>ROUND((M631*J631+1.3*M631*N631+S631*G631),4)</f>
        <v>286.26</v>
      </c>
      <c r="Y631" s="38">
        <f>ROUND((M631*J631+1.3*M631*N631+S631*G631),4)</f>
        <v>286.26</v>
      </c>
      <c r="Z631" s="276">
        <f>ROUND((P631*T631*F631*O631/1000000),4)</f>
        <v>0</v>
      </c>
      <c r="AA631" s="276">
        <f>ROUND((Q631*U631*F631*O631/1000000),4)</f>
        <v>4.2851999999999997</v>
      </c>
      <c r="AB631" s="276">
        <f>ROUND((R631*V631*F631*O631/1000000),4)</f>
        <v>8.5703999999999994</v>
      </c>
      <c r="AC631" s="277" t="s">
        <v>165</v>
      </c>
      <c r="AD631" s="278" t="s">
        <v>144</v>
      </c>
      <c r="AE631" s="40">
        <f>ROUND((((X631*E631)/1800)*0.8),4)</f>
        <v>0.38169999999999998</v>
      </c>
      <c r="AF631" s="40">
        <f>ROUND(((Z631+AA631+AB631)*0.8),4)</f>
        <v>10.2845</v>
      </c>
      <c r="AG631" s="288"/>
      <c r="AH631" s="288"/>
      <c r="AI631" s="288"/>
    </row>
    <row r="632" spans="1:35" s="61" customFormat="1" ht="15" customHeight="1" x14ac:dyDescent="0.25">
      <c r="A632" s="260"/>
      <c r="B632" s="1642"/>
      <c r="C632" s="39"/>
      <c r="D632" s="39"/>
      <c r="E632" s="39"/>
      <c r="F632" s="39"/>
      <c r="G632" s="39"/>
      <c r="H632" s="39"/>
      <c r="I632" s="39"/>
      <c r="J632" s="39"/>
      <c r="K632" s="39"/>
      <c r="L632" s="119"/>
      <c r="M632" s="119"/>
      <c r="N632" s="39"/>
      <c r="O632" s="39"/>
      <c r="P632" s="39"/>
      <c r="Q632" s="39"/>
      <c r="R632" s="39"/>
      <c r="S632" s="281"/>
      <c r="T632" s="39"/>
      <c r="U632" s="39"/>
      <c r="V632" s="39"/>
      <c r="W632" s="39"/>
      <c r="X632" s="39"/>
      <c r="Y632" s="39"/>
      <c r="Z632" s="39"/>
      <c r="AA632" s="39"/>
      <c r="AB632" s="39"/>
      <c r="AC632" s="277" t="s">
        <v>166</v>
      </c>
      <c r="AD632" s="278" t="s">
        <v>167</v>
      </c>
      <c r="AE632" s="40">
        <f>ROUND((((X631*E631)/1800)*0.13),4)</f>
        <v>6.2E-2</v>
      </c>
      <c r="AF632" s="40">
        <f>ROUND(((Z631+AA631+AB631)*0.13),4)</f>
        <v>1.6712</v>
      </c>
      <c r="AG632" s="288"/>
      <c r="AH632" s="288"/>
      <c r="AI632" s="288"/>
    </row>
    <row r="633" spans="1:35" s="61" customFormat="1" ht="15" customHeight="1" x14ac:dyDescent="0.25">
      <c r="A633" s="260"/>
      <c r="B633" s="280" t="s">
        <v>563</v>
      </c>
      <c r="C633" s="283"/>
      <c r="D633" s="283"/>
      <c r="E633" s="39"/>
      <c r="F633" s="39"/>
      <c r="G633" s="39"/>
      <c r="H633" s="39"/>
      <c r="I633" s="39"/>
      <c r="J633" s="39"/>
      <c r="K633" s="39"/>
      <c r="L633" s="40">
        <v>0.8</v>
      </c>
      <c r="M633" s="40">
        <v>0.98</v>
      </c>
      <c r="N633" s="39"/>
      <c r="O633" s="39"/>
      <c r="P633" s="39"/>
      <c r="Q633" s="39"/>
      <c r="R633" s="39"/>
      <c r="S633" s="284">
        <v>0.39</v>
      </c>
      <c r="T633" s="38">
        <f>ROUND((L633*I631+1.3*L633*K631+S633*H631),4)</f>
        <v>3763.08</v>
      </c>
      <c r="U633" s="38">
        <f>ROUND((M633*0.9*I631+1.3*M633*0.9*K631+S633*H631),4)</f>
        <v>4146.3972000000003</v>
      </c>
      <c r="V633" s="38">
        <f>ROUND((M633*I631+1.3*M633*K631+S633*H631),4)</f>
        <v>4604.5079999999998</v>
      </c>
      <c r="W633" s="38">
        <f>ROUND((L633*J631+1.3*L633*N631+S633*G631),4)</f>
        <v>23.94</v>
      </c>
      <c r="X633" s="38">
        <f>ROUND((M633*0.9*J631+1.3*M633*0.9*N631+S633*G631),4)</f>
        <v>26.154</v>
      </c>
      <c r="Y633" s="38">
        <f>ROUND((M633*J631+1.3*M633*N631+S633*G631),4)</f>
        <v>28.8</v>
      </c>
      <c r="Z633" s="276">
        <f>ROUND((P631*T633*F631*O631/1000000),4)</f>
        <v>0</v>
      </c>
      <c r="AA633" s="276">
        <f>ROUND((Q631*U633*F631*O631/1000000),4)</f>
        <v>0.37319999999999998</v>
      </c>
      <c r="AB633" s="276">
        <f>ROUND((R631*V633*F631*O631/1000000),4)</f>
        <v>0.82879999999999998</v>
      </c>
      <c r="AC633" s="277" t="s">
        <v>547</v>
      </c>
      <c r="AD633" s="278" t="s">
        <v>169</v>
      </c>
      <c r="AE633" s="40">
        <f>ROUND((((X633*E631)/1800)),4)</f>
        <v>4.36E-2</v>
      </c>
      <c r="AF633" s="40">
        <f>ROUND(((Z633+AA633+AB633)),5)</f>
        <v>1.202</v>
      </c>
      <c r="AG633" s="288"/>
      <c r="AH633" s="288"/>
      <c r="AI633" s="288"/>
    </row>
    <row r="634" spans="1:35" s="61" customFormat="1" ht="15" customHeight="1" x14ac:dyDescent="0.25">
      <c r="A634" s="260"/>
      <c r="B634" s="288"/>
      <c r="C634" s="39"/>
      <c r="D634" s="39"/>
      <c r="E634" s="39"/>
      <c r="F634" s="39"/>
      <c r="G634" s="39"/>
      <c r="H634" s="39"/>
      <c r="I634" s="39"/>
      <c r="J634" s="39"/>
      <c r="K634" s="39"/>
      <c r="L634" s="40">
        <v>1.79</v>
      </c>
      <c r="M634" s="40">
        <v>2.15</v>
      </c>
      <c r="N634" s="39"/>
      <c r="O634" s="39"/>
      <c r="P634" s="39"/>
      <c r="Q634" s="39"/>
      <c r="R634" s="39"/>
      <c r="S634" s="285">
        <v>1.24</v>
      </c>
      <c r="T634" s="38">
        <f>ROUND((L634*I631+1.3*L634*K631+S634*H631),4)</f>
        <v>8441.9339999999993</v>
      </c>
      <c r="U634" s="38">
        <f>ROUND((M634*0.9*I631+1.3*M634*0.9*K631+S634*H631),4)</f>
        <v>9119.7510000000002</v>
      </c>
      <c r="V634" s="38">
        <f>ROUND((M634*I631+1.3*M634*K631+S634*H631),4)</f>
        <v>10124.790000000001</v>
      </c>
      <c r="W634" s="38">
        <f>ROUND((L634*J631+1.3*L634*N631+S634*G631),4)</f>
        <v>55.77</v>
      </c>
      <c r="X634" s="38">
        <f>ROUND((M634*0.9*J631+1.3*M634*0.9*N631+S634*G631),4)</f>
        <v>59.685000000000002</v>
      </c>
      <c r="Y634" s="38">
        <f>ROUND((M634*J631+1.3*N631+S634*G631),4)</f>
        <v>50.54</v>
      </c>
      <c r="Z634" s="276">
        <f>ROUND((P631*T634*F631*O631/1000000),4)</f>
        <v>0</v>
      </c>
      <c r="AA634" s="276">
        <f>ROUND((Q631*U634*F631*O631/1000000),4)</f>
        <v>0.82079999999999997</v>
      </c>
      <c r="AB634" s="276">
        <f>ROUND((R631*V634*F631*O631/1000000),4)</f>
        <v>1.8225</v>
      </c>
      <c r="AC634" s="277" t="s">
        <v>548</v>
      </c>
      <c r="AD634" s="278" t="s">
        <v>549</v>
      </c>
      <c r="AE634" s="40">
        <f>ROUND((((X634*E631)/1800)),4)</f>
        <v>9.9500000000000005E-2</v>
      </c>
      <c r="AF634" s="40">
        <f>ROUND(((Z634+AA634+AB634)),4)</f>
        <v>2.6433</v>
      </c>
      <c r="AG634" s="288"/>
      <c r="AH634" s="288"/>
      <c r="AI634" s="288"/>
    </row>
    <row r="635" spans="1:35" s="61" customFormat="1" ht="15" customHeight="1" x14ac:dyDescent="0.25">
      <c r="A635" s="260"/>
      <c r="B635" s="280"/>
      <c r="C635" s="39"/>
      <c r="D635" s="39"/>
      <c r="E635" s="39"/>
      <c r="F635" s="39"/>
      <c r="G635" s="39"/>
      <c r="H635" s="39"/>
      <c r="I635" s="39"/>
      <c r="J635" s="39"/>
      <c r="K635" s="39"/>
      <c r="L635" s="40">
        <v>1.1299999999999999</v>
      </c>
      <c r="M635" s="40">
        <v>1.7</v>
      </c>
      <c r="N635" s="39"/>
      <c r="O635" s="39"/>
      <c r="P635" s="39"/>
      <c r="Q635" s="39"/>
      <c r="R635" s="39"/>
      <c r="S635" s="285">
        <v>0.26</v>
      </c>
      <c r="T635" s="38">
        <f>ROUND((L635*I631+1.3*L635*K631+S635*H631),4)</f>
        <v>5297.8980000000001</v>
      </c>
      <c r="U635" s="38">
        <f>ROUND((M635*0.9*I631+1.3*M635*0.9*K631+S635*H631),4)</f>
        <v>7167.7380000000003</v>
      </c>
      <c r="V635" s="38">
        <f>ROUND((M635*I631+1.3*M635*K631+S635*H631),4)</f>
        <v>7962.42</v>
      </c>
      <c r="W635" s="38">
        <f>ROUND((L635*J631+1.3*L635*N631+S635*G631),4)</f>
        <v>32.07</v>
      </c>
      <c r="X635" s="38">
        <f>ROUND((M635*0.9*J631+1.3*M635*0.9*N631+S635*G631),4)</f>
        <v>42.87</v>
      </c>
      <c r="Y635" s="38">
        <f>ROUND((M635*J631+1.3*M635*N631+S635*G631),4)</f>
        <v>47.46</v>
      </c>
      <c r="Z635" s="276">
        <f>ROUND((P631*T635*F631*O631/1000000),4)</f>
        <v>0</v>
      </c>
      <c r="AA635" s="276">
        <f>ROUND((Q631*U635*F631*O631/1000000),4)</f>
        <v>0.64510000000000001</v>
      </c>
      <c r="AB635" s="276">
        <f>ROUND((R631*V635*F631*O631/1000000),4)</f>
        <v>1.4332</v>
      </c>
      <c r="AC635" s="277" t="s">
        <v>172</v>
      </c>
      <c r="AD635" s="278" t="s">
        <v>173</v>
      </c>
      <c r="AE635" s="40">
        <f>ROUND((((X635*E631)/1800)),4)</f>
        <v>7.1499999999999994E-2</v>
      </c>
      <c r="AF635" s="40">
        <f>ROUND(((Z635+AA635+AB635)),4)</f>
        <v>2.0783</v>
      </c>
      <c r="AG635" s="288"/>
      <c r="AH635" s="288"/>
      <c r="AI635" s="288"/>
    </row>
    <row r="636" spans="1:35" s="61" customFormat="1" ht="15" customHeight="1" x14ac:dyDescent="0.25">
      <c r="A636" s="260"/>
      <c r="B636" s="286"/>
      <c r="C636" s="119"/>
      <c r="D636" s="119"/>
      <c r="E636" s="119"/>
      <c r="F636" s="119"/>
      <c r="G636" s="119"/>
      <c r="H636" s="119"/>
      <c r="I636" s="119"/>
      <c r="J636" s="119"/>
      <c r="K636" s="119"/>
      <c r="L636" s="40">
        <v>5.3</v>
      </c>
      <c r="M636" s="40">
        <v>6.47</v>
      </c>
      <c r="N636" s="119"/>
      <c r="O636" s="119"/>
      <c r="P636" s="119"/>
      <c r="Q636" s="119"/>
      <c r="R636" s="119"/>
      <c r="S636" s="285">
        <v>9.92</v>
      </c>
      <c r="T636" s="38">
        <f>ROUND((L636*I631+1.3*L636*K631+S636*H631),4)</f>
        <v>25370.58</v>
      </c>
      <c r="U636" s="38">
        <f>ROUND((M636*0.9*I631+1.3*M636*0.9*K631+S636*H631),4)</f>
        <v>27815.395799999998</v>
      </c>
      <c r="V636" s="38">
        <f>ROUND((M636*I631+1.3*M636*K631+S636*H631),4)</f>
        <v>30839.862000000001</v>
      </c>
      <c r="W636" s="38">
        <f>ROUND((L636*J631+1.3*L636*N631+S636*G631),4)</f>
        <v>202.62</v>
      </c>
      <c r="X636" s="38">
        <f>ROUND((M636*0.9*J631+1.3*M636*0.9*N631+S636*G631),4)</f>
        <v>216.74100000000001</v>
      </c>
      <c r="Y636" s="38">
        <f>ROUND((M636*J631+1.3*M636*N631+S636*G631),4)</f>
        <v>234.21</v>
      </c>
      <c r="Z636" s="276">
        <f>ROUND((P631*T636*F631*O631/1000000),4)</f>
        <v>0</v>
      </c>
      <c r="AA636" s="276">
        <f>ROUND((Q631*U636*F631*O631/1000000),4)</f>
        <v>2.5034000000000001</v>
      </c>
      <c r="AB636" s="276">
        <f>ROUND((R631*V636*F631*O631/1000000),4)</f>
        <v>5.5511999999999997</v>
      </c>
      <c r="AC636" s="277" t="s">
        <v>157</v>
      </c>
      <c r="AD636" s="278" t="s">
        <v>153</v>
      </c>
      <c r="AE636" s="40">
        <f>ROUND((((X636*E631)/1800)),4)</f>
        <v>0.36120000000000002</v>
      </c>
      <c r="AF636" s="40">
        <f>ROUND(((Z636+AA636+AB636)),4)</f>
        <v>8.0546000000000006</v>
      </c>
      <c r="AG636" s="288"/>
      <c r="AH636" s="288"/>
      <c r="AI636" s="288"/>
    </row>
    <row r="637" spans="1:35" s="61" customFormat="1" ht="15" customHeight="1" x14ac:dyDescent="0.25">
      <c r="A637" s="260"/>
      <c r="B637" s="1638" t="s">
        <v>562</v>
      </c>
      <c r="C637" s="38">
        <v>7</v>
      </c>
      <c r="D637" s="38" t="s">
        <v>560</v>
      </c>
      <c r="E637" s="38">
        <v>1</v>
      </c>
      <c r="F637" s="38">
        <v>4</v>
      </c>
      <c r="G637" s="38">
        <v>6</v>
      </c>
      <c r="H637" s="38">
        <v>60</v>
      </c>
      <c r="I637" s="38">
        <f>(8-1-0.75*2)*60*F637-K637-8*0.12*60</f>
        <v>404.4</v>
      </c>
      <c r="J637" s="38">
        <v>14</v>
      </c>
      <c r="K637" s="38">
        <f>(8-1-0.75*2)*0.65*60*F637</f>
        <v>858</v>
      </c>
      <c r="L637" s="38">
        <v>10.16</v>
      </c>
      <c r="M637" s="38">
        <v>10.16</v>
      </c>
      <c r="N637" s="38">
        <v>10</v>
      </c>
      <c r="O637" s="38">
        <f>E637/F637</f>
        <v>0.25</v>
      </c>
      <c r="P637" s="38">
        <v>0</v>
      </c>
      <c r="Q637" s="38">
        <v>30</v>
      </c>
      <c r="R637" s="275">
        <v>60</v>
      </c>
      <c r="S637" s="275">
        <v>1.99</v>
      </c>
      <c r="T637" s="38">
        <f>ROUND((L637*I637+1.3*L637*K637+S637*H637),4)</f>
        <v>15560.567999999999</v>
      </c>
      <c r="U637" s="38">
        <f>ROUND((M637*I637+1.3*M637*K637+S637*H637),4)</f>
        <v>15560.567999999999</v>
      </c>
      <c r="V637" s="38">
        <f>ROUND((M637*I637+1.3*M637*K637+S637*H637),4)</f>
        <v>15560.567999999999</v>
      </c>
      <c r="W637" s="38">
        <f>ROUND((L637*J637+1.3*L637*N637+S637*G637),4)</f>
        <v>286.26</v>
      </c>
      <c r="X637" s="38">
        <f>ROUND((M637*J637+1.3*M637*N637+S637*G637),4)</f>
        <v>286.26</v>
      </c>
      <c r="Y637" s="38">
        <f>ROUND((M637*J637+1.3*M637*N637+S637*G637),4)</f>
        <v>286.26</v>
      </c>
      <c r="Z637" s="276">
        <f>ROUND((P637*T637*F637*O637/1000000),4)</f>
        <v>0</v>
      </c>
      <c r="AA637" s="276">
        <f>ROUND((Q637*U637*F637*O637/1000000),4)</f>
        <v>0.46679999999999999</v>
      </c>
      <c r="AB637" s="276">
        <f>ROUND((R637*V637*F637*O637/1000000),4)</f>
        <v>0.93359999999999999</v>
      </c>
      <c r="AC637" s="277" t="s">
        <v>165</v>
      </c>
      <c r="AD637" s="278" t="s">
        <v>144</v>
      </c>
      <c r="AE637" s="40">
        <f>ROUND((((X637*E637)/1800)*0.8),4)</f>
        <v>0.12720000000000001</v>
      </c>
      <c r="AF637" s="40">
        <f>ROUND(((Z637+AA637+AB637)*0.8),4)</f>
        <v>1.1203000000000001</v>
      </c>
      <c r="AG637" s="288"/>
      <c r="AH637" s="288"/>
      <c r="AI637" s="288"/>
    </row>
    <row r="638" spans="1:35" s="61" customFormat="1" ht="15" customHeight="1" x14ac:dyDescent="0.25">
      <c r="A638" s="260"/>
      <c r="B638" s="1639"/>
      <c r="C638" s="39"/>
      <c r="D638" s="39"/>
      <c r="E638" s="39"/>
      <c r="F638" s="39"/>
      <c r="G638" s="39"/>
      <c r="H638" s="39"/>
      <c r="I638" s="39"/>
      <c r="J638" s="39"/>
      <c r="K638" s="39"/>
      <c r="L638" s="119"/>
      <c r="M638" s="119"/>
      <c r="N638" s="39"/>
      <c r="O638" s="39"/>
      <c r="P638" s="39"/>
      <c r="Q638" s="39"/>
      <c r="R638" s="39"/>
      <c r="S638" s="281"/>
      <c r="T638" s="39"/>
      <c r="U638" s="39"/>
      <c r="V638" s="39"/>
      <c r="W638" s="39"/>
      <c r="X638" s="39"/>
      <c r="Y638" s="39"/>
      <c r="Z638" s="39"/>
      <c r="AA638" s="39"/>
      <c r="AB638" s="39"/>
      <c r="AC638" s="277" t="s">
        <v>166</v>
      </c>
      <c r="AD638" s="278" t="s">
        <v>167</v>
      </c>
      <c r="AE638" s="40">
        <f>ROUND((((X637*E637)/1800)*0.13),4)</f>
        <v>2.07E-2</v>
      </c>
      <c r="AF638" s="40">
        <f>ROUND(((Z637+AA637+AB637)*0.13),4)</f>
        <v>0.18210000000000001</v>
      </c>
      <c r="AG638" s="288"/>
      <c r="AH638" s="288"/>
      <c r="AI638" s="288"/>
    </row>
    <row r="639" spans="1:35" s="61" customFormat="1" ht="15" customHeight="1" x14ac:dyDescent="0.25">
      <c r="A639" s="260"/>
      <c r="B639" s="1634" t="s">
        <v>564</v>
      </c>
      <c r="C639" s="283"/>
      <c r="D639" s="283"/>
      <c r="E639" s="39"/>
      <c r="F639" s="39"/>
      <c r="G639" s="39"/>
      <c r="H639" s="39"/>
      <c r="I639" s="39"/>
      <c r="J639" s="39"/>
      <c r="K639" s="39"/>
      <c r="L639" s="40">
        <v>0.8</v>
      </c>
      <c r="M639" s="40">
        <v>0.98</v>
      </c>
      <c r="N639" s="39"/>
      <c r="O639" s="39"/>
      <c r="P639" s="39"/>
      <c r="Q639" s="39"/>
      <c r="R639" s="39"/>
      <c r="S639" s="284">
        <v>0.39</v>
      </c>
      <c r="T639" s="38">
        <f>ROUND((L639*I637+1.3*L639*K637+S639*H637),4)</f>
        <v>1239.24</v>
      </c>
      <c r="U639" s="38">
        <f>ROUND((M639*0.9*I637+1.3*M639*0.9*K637+S639*H637),4)</f>
        <v>1363.8635999999999</v>
      </c>
      <c r="V639" s="38">
        <f>ROUND((M639*I637+1.3*M639*K637+S639*H637),4)</f>
        <v>1512.8040000000001</v>
      </c>
      <c r="W639" s="38">
        <f>ROUND((L639*J637+1.3*L639*N637+S639*G637),4)</f>
        <v>23.94</v>
      </c>
      <c r="X639" s="38">
        <f>ROUND((M639*0.9*J637+1.3*M639*0.9*N637+S639*G637),4)</f>
        <v>26.154</v>
      </c>
      <c r="Y639" s="38">
        <f>ROUND((M639*J637+1.3*M639*N637+S639*G637),4)</f>
        <v>28.8</v>
      </c>
      <c r="Z639" s="276">
        <f>ROUND((P637*T639*F637*O637/1000000),4)</f>
        <v>0</v>
      </c>
      <c r="AA639" s="276">
        <f>ROUND((Q637*U639*F637*O637/1000000),4)</f>
        <v>4.0899999999999999E-2</v>
      </c>
      <c r="AB639" s="276">
        <f>ROUND((R637*V639*F637*O637/1000000),4)</f>
        <v>9.0800000000000006E-2</v>
      </c>
      <c r="AC639" s="277" t="s">
        <v>547</v>
      </c>
      <c r="AD639" s="278" t="s">
        <v>169</v>
      </c>
      <c r="AE639" s="40">
        <f>ROUND((((X639*E637)/1800)),4)</f>
        <v>1.4500000000000001E-2</v>
      </c>
      <c r="AF639" s="40">
        <f>ROUND(((Z639+AA639+AB639)),5)</f>
        <v>0.13170000000000001</v>
      </c>
      <c r="AG639" s="288"/>
      <c r="AH639" s="288"/>
      <c r="AI639" s="288"/>
    </row>
    <row r="640" spans="1:35" s="61" customFormat="1" ht="15" customHeight="1" x14ac:dyDescent="0.25">
      <c r="A640" s="260"/>
      <c r="B640" s="1634"/>
      <c r="C640" s="39"/>
      <c r="D640" s="39"/>
      <c r="E640" s="39"/>
      <c r="F640" s="39"/>
      <c r="G640" s="39"/>
      <c r="H640" s="39"/>
      <c r="I640" s="39"/>
      <c r="J640" s="39"/>
      <c r="K640" s="39"/>
      <c r="L640" s="40">
        <v>1.79</v>
      </c>
      <c r="M640" s="40">
        <v>2.15</v>
      </c>
      <c r="N640" s="39"/>
      <c r="O640" s="39"/>
      <c r="P640" s="39"/>
      <c r="Q640" s="39"/>
      <c r="R640" s="39"/>
      <c r="S640" s="285">
        <v>1.24</v>
      </c>
      <c r="T640" s="38">
        <f>ROUND((L640*I637+1.3*L640*K637+S640*H637),4)</f>
        <v>2794.8420000000001</v>
      </c>
      <c r="U640" s="38">
        <f>ROUND((M640*0.9*I637+1.3*M640*0.9*K637+S640*H637),4)</f>
        <v>3015.2130000000002</v>
      </c>
      <c r="V640" s="38">
        <f>ROUND((M640*I637+1.3*M640*K637+S640*H637),4)</f>
        <v>3341.97</v>
      </c>
      <c r="W640" s="38">
        <f>ROUND((L640*J637+1.3*L640*N637+S640*G637),4)</f>
        <v>55.77</v>
      </c>
      <c r="X640" s="38">
        <f>ROUND((M640*0.9*J637+1.3*M640*0.9*N637+S640*G637),4)</f>
        <v>59.685000000000002</v>
      </c>
      <c r="Y640" s="38">
        <f>ROUND((M640*J637+1.3*N637+S640*G637),4)</f>
        <v>50.54</v>
      </c>
      <c r="Z640" s="276">
        <f>ROUND((P637*T640*F637*O637/1000000),4)</f>
        <v>0</v>
      </c>
      <c r="AA640" s="276">
        <f>ROUND((Q637*U640*F637*O637/1000000),4)</f>
        <v>9.0499999999999997E-2</v>
      </c>
      <c r="AB640" s="276">
        <f>ROUND((R637*V640*F637*O637/1000000),4)</f>
        <v>0.20050000000000001</v>
      </c>
      <c r="AC640" s="277" t="s">
        <v>548</v>
      </c>
      <c r="AD640" s="278" t="s">
        <v>549</v>
      </c>
      <c r="AE640" s="40">
        <f>ROUND((((X640*E637)/1800)),4)</f>
        <v>3.32E-2</v>
      </c>
      <c r="AF640" s="40">
        <f>ROUND(((Z640+AA640+AB640)),4)</f>
        <v>0.29099999999999998</v>
      </c>
      <c r="AG640" s="288"/>
      <c r="AH640" s="288"/>
      <c r="AI640" s="288"/>
    </row>
    <row r="641" spans="1:35" s="61" customFormat="1" ht="15" customHeight="1" x14ac:dyDescent="0.25">
      <c r="A641" s="260"/>
      <c r="B641" s="280"/>
      <c r="C641" s="39"/>
      <c r="D641" s="39"/>
      <c r="E641" s="39"/>
      <c r="F641" s="39"/>
      <c r="G641" s="39"/>
      <c r="H641" s="39"/>
      <c r="I641" s="39"/>
      <c r="J641" s="39"/>
      <c r="K641" s="39"/>
      <c r="L641" s="40">
        <v>1.1299999999999999</v>
      </c>
      <c r="M641" s="40">
        <v>1.7</v>
      </c>
      <c r="N641" s="39"/>
      <c r="O641" s="39"/>
      <c r="P641" s="39"/>
      <c r="Q641" s="39"/>
      <c r="R641" s="39"/>
      <c r="S641" s="285">
        <v>0.26</v>
      </c>
      <c r="T641" s="38">
        <f>ROUND((L641*I637+1.3*L641*K637+S641*H637),4)</f>
        <v>1732.9739999999999</v>
      </c>
      <c r="U641" s="38">
        <f>ROUND((M641*0.9*I637+1.3*M641*0.9*K637+S641*H637),4)</f>
        <v>2340.8939999999998</v>
      </c>
      <c r="V641" s="38">
        <f>ROUND((M641*I637+1.3*M641*K637+S641*H637),4)</f>
        <v>2599.2600000000002</v>
      </c>
      <c r="W641" s="38">
        <f>ROUND((L641*J637+1.3*L641*N637+S641*G637),4)</f>
        <v>32.07</v>
      </c>
      <c r="X641" s="38">
        <f>ROUND((M641*0.9*J637+1.3*M641*0.9*N637+S641*G637),4)</f>
        <v>42.87</v>
      </c>
      <c r="Y641" s="38">
        <f>ROUND((M641*J637+1.3*M641*N637+S641*G637),4)</f>
        <v>47.46</v>
      </c>
      <c r="Z641" s="276">
        <f>ROUND((P637*T641*F637*O637/1000000),4)</f>
        <v>0</v>
      </c>
      <c r="AA641" s="276">
        <f>ROUND((Q637*U641*F637*O637/1000000),4)</f>
        <v>7.0199999999999999E-2</v>
      </c>
      <c r="AB641" s="276">
        <f>ROUND((R637*V641*F637*O637/1000000),4)</f>
        <v>0.156</v>
      </c>
      <c r="AC641" s="277" t="s">
        <v>172</v>
      </c>
      <c r="AD641" s="278" t="s">
        <v>173</v>
      </c>
      <c r="AE641" s="40">
        <f>ROUND((((X641*E637)/1800)),4)</f>
        <v>2.3800000000000002E-2</v>
      </c>
      <c r="AF641" s="40">
        <f>ROUND(((Z641+AA641+AB641)),4)</f>
        <v>0.22620000000000001</v>
      </c>
      <c r="AG641" s="288"/>
      <c r="AH641" s="288"/>
      <c r="AI641" s="288"/>
    </row>
    <row r="642" spans="1:35" s="61" customFormat="1" ht="15" customHeight="1" x14ac:dyDescent="0.25">
      <c r="A642" s="260"/>
      <c r="B642" s="286"/>
      <c r="C642" s="119"/>
      <c r="D642" s="119"/>
      <c r="E642" s="119"/>
      <c r="F642" s="119"/>
      <c r="G642" s="119"/>
      <c r="H642" s="119"/>
      <c r="I642" s="119"/>
      <c r="J642" s="119"/>
      <c r="K642" s="119"/>
      <c r="L642" s="40">
        <v>5.3</v>
      </c>
      <c r="M642" s="40">
        <v>6.47</v>
      </c>
      <c r="N642" s="119"/>
      <c r="O642" s="119"/>
      <c r="P642" s="119"/>
      <c r="Q642" s="119"/>
      <c r="R642" s="119"/>
      <c r="S642" s="285">
        <v>9.92</v>
      </c>
      <c r="T642" s="38">
        <f>ROUND((L642*I637+1.3*L642*K637+S642*H637),4)</f>
        <v>8650.14</v>
      </c>
      <c r="U642" s="38">
        <f>ROUND((M642*0.9*I637+1.3*M642*0.9*K637+S642*H637),4)</f>
        <v>9444.9953999999998</v>
      </c>
      <c r="V642" s="38">
        <f>ROUND((M642*I637+1.3*M642*K637+S642*H637),4)</f>
        <v>10428.306</v>
      </c>
      <c r="W642" s="38">
        <f>ROUND((L642*J637+1.3*L642*N637+S642*G637),4)</f>
        <v>202.62</v>
      </c>
      <c r="X642" s="38">
        <f>ROUND((M642*0.9*J637+1.3*M642*0.9*N637+S642*G637),4)</f>
        <v>216.74100000000001</v>
      </c>
      <c r="Y642" s="38">
        <f>ROUND((M642*J637+1.3*M642*N637+S642*G637),4)</f>
        <v>234.21</v>
      </c>
      <c r="Z642" s="276">
        <f>ROUND((P637*T642*F637*O637/1000000),4)</f>
        <v>0</v>
      </c>
      <c r="AA642" s="276">
        <f>ROUND((Q637*U642*F637*O637/1000000),4)</f>
        <v>0.2833</v>
      </c>
      <c r="AB642" s="276">
        <f>ROUND((R637*V642*F637*O637/1000000),4)</f>
        <v>0.62570000000000003</v>
      </c>
      <c r="AC642" s="277" t="s">
        <v>157</v>
      </c>
      <c r="AD642" s="278" t="s">
        <v>153</v>
      </c>
      <c r="AE642" s="40">
        <f>ROUND((((X642*E637)/1800)),4)</f>
        <v>0.12039999999999999</v>
      </c>
      <c r="AF642" s="40">
        <f>ROUND(((Z642+AA642+AB642)),4)</f>
        <v>0.90900000000000003</v>
      </c>
      <c r="AG642" s="288"/>
      <c r="AH642" s="288"/>
      <c r="AI642" s="288"/>
    </row>
    <row r="643" spans="1:35" s="61" customFormat="1" ht="15" customHeight="1" x14ac:dyDescent="0.25">
      <c r="A643" s="260"/>
      <c r="B643" s="287" t="s">
        <v>565</v>
      </c>
      <c r="C643" s="274">
        <v>1</v>
      </c>
      <c r="D643" s="38" t="s">
        <v>566</v>
      </c>
      <c r="E643" s="38">
        <v>2</v>
      </c>
      <c r="F643" s="38">
        <v>6</v>
      </c>
      <c r="G643" s="38">
        <v>6</v>
      </c>
      <c r="H643" s="38">
        <v>60</v>
      </c>
      <c r="I643" s="38">
        <f>(8-1-0.75*2)*60*F643-K643-8*0.12*60</f>
        <v>635.4</v>
      </c>
      <c r="J643" s="38">
        <v>14</v>
      </c>
      <c r="K643" s="38">
        <f>(8-1-0.75*2)*0.65*60*F643</f>
        <v>1287</v>
      </c>
      <c r="L643" s="38">
        <v>0.47</v>
      </c>
      <c r="M643" s="38">
        <v>0.47</v>
      </c>
      <c r="N643" s="38">
        <v>10</v>
      </c>
      <c r="O643" s="38">
        <f>E643/F643</f>
        <v>0.33333333333333331</v>
      </c>
      <c r="P643" s="38">
        <v>0</v>
      </c>
      <c r="Q643" s="38">
        <v>30</v>
      </c>
      <c r="R643" s="275">
        <v>60</v>
      </c>
      <c r="S643" s="275">
        <v>0.09</v>
      </c>
      <c r="T643" s="38">
        <f>ROUND((L643*I643+1.3*L643*K643+S643*H643),4)</f>
        <v>1090.395</v>
      </c>
      <c r="U643" s="38">
        <f>ROUND((M643*I643+1.3*M643*K643+S643*H643),4)</f>
        <v>1090.395</v>
      </c>
      <c r="V643" s="38">
        <f>ROUND((M643*I643+1.3*M643*K643+S643*H643),4)</f>
        <v>1090.395</v>
      </c>
      <c r="W643" s="38">
        <f>ROUND((L643*J643+1.3*L643*N643+S643*G643),4)</f>
        <v>13.23</v>
      </c>
      <c r="X643" s="38">
        <f>ROUND((M643*J643+1.3*M643*N643+S643*G643),4)</f>
        <v>13.23</v>
      </c>
      <c r="Y643" s="38">
        <f>ROUND((M643*J643+1.3*M643*N643+S643*G643),4)</f>
        <v>13.23</v>
      </c>
      <c r="Z643" s="276">
        <f>ROUND((P643*T643*F643*O643/1000000),4)</f>
        <v>0</v>
      </c>
      <c r="AA643" s="276">
        <f>ROUND((Q643*U643*F643*O643/1000000),4)</f>
        <v>6.54E-2</v>
      </c>
      <c r="AB643" s="276">
        <f>ROUND((R643*V643*F643*O643/1000000),4)</f>
        <v>0.1308</v>
      </c>
      <c r="AC643" s="277" t="s">
        <v>165</v>
      </c>
      <c r="AD643" s="278" t="s">
        <v>144</v>
      </c>
      <c r="AE643" s="40">
        <f>ROUND((((X643*E643)/1800)*0.8),4)</f>
        <v>1.18E-2</v>
      </c>
      <c r="AF643" s="40">
        <f>ROUND(((Z643+AA643+AB643)*0.8),4)</f>
        <v>0.157</v>
      </c>
      <c r="AG643" s="288"/>
      <c r="AH643" s="288"/>
    </row>
    <row r="644" spans="1:35" s="61" customFormat="1" ht="15" customHeight="1" x14ac:dyDescent="0.25">
      <c r="A644" s="260"/>
      <c r="B644" s="1634" t="s">
        <v>567</v>
      </c>
      <c r="C644" s="39"/>
      <c r="D644" s="39"/>
      <c r="E644" s="39"/>
      <c r="F644" s="39"/>
      <c r="G644" s="39"/>
      <c r="H644" s="39"/>
      <c r="I644" s="39"/>
      <c r="J644" s="39"/>
      <c r="K644" s="39"/>
      <c r="L644" s="119"/>
      <c r="M644" s="119"/>
      <c r="N644" s="39"/>
      <c r="O644" s="39"/>
      <c r="P644" s="39"/>
      <c r="Q644" s="39"/>
      <c r="R644" s="39"/>
      <c r="S644" s="281"/>
      <c r="T644" s="39"/>
      <c r="U644" s="39"/>
      <c r="V644" s="39"/>
      <c r="W644" s="39"/>
      <c r="X644" s="39"/>
      <c r="Y644" s="39"/>
      <c r="Z644" s="39"/>
      <c r="AA644" s="39"/>
      <c r="AB644" s="39"/>
      <c r="AC644" s="277" t="s">
        <v>166</v>
      </c>
      <c r="AD644" s="278" t="s">
        <v>167</v>
      </c>
      <c r="AE644" s="40">
        <f>ROUND((((X643*E643)/1800)*0.13),4)</f>
        <v>1.9E-3</v>
      </c>
      <c r="AF644" s="40">
        <f>ROUND(((Z643+AA643+AB643)*0.13),4)</f>
        <v>2.5499999999999998E-2</v>
      </c>
      <c r="AG644" s="288"/>
      <c r="AH644" s="288"/>
    </row>
    <row r="645" spans="1:35" s="61" customFormat="1" ht="15" customHeight="1" x14ac:dyDescent="0.25">
      <c r="A645" s="260"/>
      <c r="B645" s="1634"/>
      <c r="C645" s="283"/>
      <c r="D645" s="283"/>
      <c r="E645" s="39"/>
      <c r="F645" s="39"/>
      <c r="G645" s="39"/>
      <c r="H645" s="39"/>
      <c r="I645" s="39"/>
      <c r="J645" s="39"/>
      <c r="K645" s="39"/>
      <c r="L645" s="40">
        <v>0.8</v>
      </c>
      <c r="M645" s="40">
        <v>0.98</v>
      </c>
      <c r="N645" s="39"/>
      <c r="O645" s="39"/>
      <c r="P645" s="39"/>
      <c r="Q645" s="39"/>
      <c r="R645" s="39"/>
      <c r="S645" s="284">
        <v>1.7999999999999999E-2</v>
      </c>
      <c r="T645" s="38">
        <f>ROUND((L645*I643+1.3*L645*K643+S645*H643),4)</f>
        <v>1847.88</v>
      </c>
      <c r="U645" s="38">
        <f>ROUND((M645*0.9*I643+1.3*M645*0.9*K643+S645*H643),4)</f>
        <v>2037.1769999999999</v>
      </c>
      <c r="V645" s="38">
        <f>ROUND((M645*I643+1.3*M645*K643+S645*H643),4)</f>
        <v>2263.41</v>
      </c>
      <c r="W645" s="38">
        <f>ROUND((L645*J643+1.3*L645*N643+S645*G643),4)</f>
        <v>21.707999999999998</v>
      </c>
      <c r="X645" s="38">
        <f>ROUND((M645*0.9*J643+1.3*M645*0.9*N643+S645*G643),4)</f>
        <v>23.922000000000001</v>
      </c>
      <c r="Y645" s="38">
        <f>ROUND((M645*J643+1.3*M645*N643+S645*G643),4)</f>
        <v>26.568000000000001</v>
      </c>
      <c r="Z645" s="276">
        <f>ROUND((P643*T645*F643*O643/1000000),4)</f>
        <v>0</v>
      </c>
      <c r="AA645" s="276">
        <f>ROUND((Q643*U645*F643*O643/1000000),4)</f>
        <v>0.1222</v>
      </c>
      <c r="AB645" s="276">
        <f>ROUND((R643*V645*F643*O643/1000000),4)</f>
        <v>0.27160000000000001</v>
      </c>
      <c r="AC645" s="277" t="s">
        <v>547</v>
      </c>
      <c r="AD645" s="278" t="s">
        <v>169</v>
      </c>
      <c r="AE645" s="40">
        <f>ROUND((((X645*E643)/1800)),4)</f>
        <v>2.6599999999999999E-2</v>
      </c>
      <c r="AF645" s="40">
        <f>ROUND(((Z645+AA645+AB645)),5)</f>
        <v>0.39379999999999998</v>
      </c>
      <c r="AG645" s="288"/>
      <c r="AH645" s="288"/>
    </row>
    <row r="646" spans="1:35" s="61" customFormat="1" ht="15" customHeight="1" x14ac:dyDescent="0.25">
      <c r="A646" s="260"/>
      <c r="B646" s="288"/>
      <c r="C646" s="39"/>
      <c r="D646" s="39"/>
      <c r="E646" s="39"/>
      <c r="F646" s="39"/>
      <c r="G646" s="39"/>
      <c r="H646" s="39"/>
      <c r="I646" s="39"/>
      <c r="J646" s="39"/>
      <c r="K646" s="39"/>
      <c r="L646" s="40">
        <v>0.08</v>
      </c>
      <c r="M646" s="40">
        <v>0.1</v>
      </c>
      <c r="N646" s="39"/>
      <c r="O646" s="39"/>
      <c r="P646" s="39"/>
      <c r="Q646" s="39"/>
      <c r="R646" s="39"/>
      <c r="S646" s="285">
        <v>0.06</v>
      </c>
      <c r="T646" s="38">
        <f>ROUND((L646*I643+1.3*L646*K643+S646*H643),4)</f>
        <v>188.28</v>
      </c>
      <c r="U646" s="38">
        <f>ROUND((M646*0.9*I643+1.3*M646*0.9*K643+S646*H643),4)</f>
        <v>211.36500000000001</v>
      </c>
      <c r="V646" s="38">
        <f>ROUND((M646*I643+1.3*M646*K643+S646*H643),4)</f>
        <v>234.45</v>
      </c>
      <c r="W646" s="38">
        <f>ROUND((L646*J643+1.3*L646*N643+S646*G643),4)</f>
        <v>2.52</v>
      </c>
      <c r="X646" s="38">
        <f>ROUND((M646*0.9*J643+1.3*M646*0.9*N643+S646*G643),4)</f>
        <v>2.79</v>
      </c>
      <c r="Y646" s="38">
        <f>ROUND((M646*J643+1.3*N643+S646*G643),4)</f>
        <v>14.76</v>
      </c>
      <c r="Z646" s="276">
        <f>ROUND((P643*T646*F643*O643/1000000),4)</f>
        <v>0</v>
      </c>
      <c r="AA646" s="276">
        <f>ROUND((Q643*U646*F643*O643/1000000),4)</f>
        <v>1.2699999999999999E-2</v>
      </c>
      <c r="AB646" s="276">
        <f>ROUND((R643*V646*F643*O643/1000000),4)</f>
        <v>2.81E-2</v>
      </c>
      <c r="AC646" s="277" t="s">
        <v>548</v>
      </c>
      <c r="AD646" s="278" t="s">
        <v>549</v>
      </c>
      <c r="AE646" s="40">
        <f>ROUND((((X646*E643)/1800)),4)</f>
        <v>3.0999999999999999E-3</v>
      </c>
      <c r="AF646" s="40">
        <f>ROUND(((Z646+AA646+AB646)),4)</f>
        <v>4.0800000000000003E-2</v>
      </c>
      <c r="AG646" s="288"/>
      <c r="AH646" s="288"/>
    </row>
    <row r="647" spans="1:35" s="61" customFormat="1" ht="15" customHeight="1" x14ac:dyDescent="0.25">
      <c r="A647" s="260"/>
      <c r="B647" s="280"/>
      <c r="C647" s="39"/>
      <c r="D647" s="39"/>
      <c r="E647" s="39"/>
      <c r="F647" s="39"/>
      <c r="G647" s="39"/>
      <c r="H647" s="39"/>
      <c r="I647" s="39"/>
      <c r="J647" s="39"/>
      <c r="K647" s="39"/>
      <c r="L647" s="40">
        <v>0.05</v>
      </c>
      <c r="M647" s="40">
        <v>7.0000000000000007E-2</v>
      </c>
      <c r="N647" s="39"/>
      <c r="O647" s="39"/>
      <c r="P647" s="39"/>
      <c r="Q647" s="39"/>
      <c r="R647" s="39"/>
      <c r="S647" s="285">
        <v>0.01</v>
      </c>
      <c r="T647" s="38">
        <f>ROUND((L647*I643+1.3*L647*K643+S647*H643),4)</f>
        <v>116.02500000000001</v>
      </c>
      <c r="U647" s="38">
        <f>ROUND((M647*0.9*I643+1.3*M647*0.9*K643+S647*H643),4)</f>
        <v>146.03550000000001</v>
      </c>
      <c r="V647" s="38">
        <f>ROUND((M647*I643+1.3*M647*K643+S647*H643),4)</f>
        <v>162.19499999999999</v>
      </c>
      <c r="W647" s="38">
        <f>ROUND((L647*J643+1.3*L647*N643+S647*G643),4)</f>
        <v>1.41</v>
      </c>
      <c r="X647" s="38">
        <f>ROUND((M647*0.9*J643+1.3*M647*0.9*N643+S647*G643),4)</f>
        <v>1.7609999999999999</v>
      </c>
      <c r="Y647" s="38">
        <f>ROUND((M647*J643+1.3*M647*N643+S647*G643),4)</f>
        <v>1.95</v>
      </c>
      <c r="Z647" s="276">
        <f>ROUND((P643*T647*F643*O643/1000000),4)</f>
        <v>0</v>
      </c>
      <c r="AA647" s="276">
        <f>ROUND((Q643*U647*F643*O643/1000000),4)</f>
        <v>8.8000000000000005E-3</v>
      </c>
      <c r="AB647" s="276">
        <f>ROUND((R643*V647*F643*O643/1000000),4)</f>
        <v>1.95E-2</v>
      </c>
      <c r="AC647" s="277" t="s">
        <v>172</v>
      </c>
      <c r="AD647" s="278" t="s">
        <v>173</v>
      </c>
      <c r="AE647" s="40">
        <f>ROUND((((X647*E643)/1800)),4)</f>
        <v>2E-3</v>
      </c>
      <c r="AF647" s="40">
        <f>ROUND(((Z647+AA647+AB647)),4)</f>
        <v>2.8299999999999999E-2</v>
      </c>
      <c r="AG647" s="288"/>
      <c r="AH647" s="288"/>
    </row>
    <row r="648" spans="1:35" s="61" customFormat="1" ht="15" customHeight="1" x14ac:dyDescent="0.25">
      <c r="A648" s="260"/>
      <c r="B648" s="286"/>
      <c r="C648" s="119"/>
      <c r="D648" s="119"/>
      <c r="E648" s="119"/>
      <c r="F648" s="119"/>
      <c r="G648" s="119"/>
      <c r="H648" s="119"/>
      <c r="I648" s="119"/>
      <c r="J648" s="119"/>
      <c r="K648" s="119"/>
      <c r="L648" s="40">
        <v>3.5999999999999997E-2</v>
      </c>
      <c r="M648" s="40">
        <v>4.3999999999999997E-2</v>
      </c>
      <c r="N648" s="119"/>
      <c r="O648" s="119"/>
      <c r="P648" s="119"/>
      <c r="Q648" s="119"/>
      <c r="R648" s="119"/>
      <c r="S648" s="285">
        <v>0.45</v>
      </c>
      <c r="T648" s="38">
        <f>ROUND((L648*I643+1.3*L648*K643+S648*H643),4)</f>
        <v>110.10599999999999</v>
      </c>
      <c r="U648" s="38">
        <f>ROUND((M648*0.9*I643+1.3*M648*0.9*K643+S648*H643),4)</f>
        <v>118.4166</v>
      </c>
      <c r="V648" s="38">
        <f>ROUND((M648*I643+1.3*M648*K643+S648*H643),4)</f>
        <v>128.57400000000001</v>
      </c>
      <c r="W648" s="38">
        <f>ROUND((L648*J643+1.3*L648*N643+S648*G643),4)</f>
        <v>3.6720000000000002</v>
      </c>
      <c r="X648" s="38">
        <f>ROUND((M648*0.9*J643+1.3*M648*0.9*N643+S648*G643),4)</f>
        <v>3.7692000000000001</v>
      </c>
      <c r="Y648" s="38">
        <f>ROUND((M648*J643+1.3*M648*N643+S648*G643),4)</f>
        <v>3.8879999999999999</v>
      </c>
      <c r="Z648" s="276">
        <f>ROUND((P643*T648*F643*O643/1000000),4)</f>
        <v>0</v>
      </c>
      <c r="AA648" s="276">
        <f>ROUND((Q643*U648*F643*O643/1000000),4)</f>
        <v>7.1000000000000004E-3</v>
      </c>
      <c r="AB648" s="276">
        <f>ROUND((R643*V648*F643*O643/1000000),4)</f>
        <v>1.54E-2</v>
      </c>
      <c r="AC648" s="277" t="s">
        <v>157</v>
      </c>
      <c r="AD648" s="278" t="s">
        <v>153</v>
      </c>
      <c r="AE648" s="40">
        <f>ROUND((((X648*E643)/1800)),4)</f>
        <v>4.1999999999999997E-3</v>
      </c>
      <c r="AF648" s="40">
        <f>ROUND(((Z648+AA648+AB648)),4)</f>
        <v>2.2499999999999999E-2</v>
      </c>
      <c r="AG648" s="288"/>
      <c r="AH648" s="288"/>
    </row>
    <row r="649" spans="1:35" s="61" customFormat="1" ht="15" customHeight="1" x14ac:dyDescent="0.25">
      <c r="A649" s="260"/>
      <c r="B649" s="287" t="s">
        <v>595</v>
      </c>
      <c r="C649" s="38">
        <v>7</v>
      </c>
      <c r="D649" s="38" t="s">
        <v>560</v>
      </c>
      <c r="E649" s="38">
        <v>1</v>
      </c>
      <c r="F649" s="38">
        <v>4</v>
      </c>
      <c r="G649" s="38">
        <v>6</v>
      </c>
      <c r="H649" s="38">
        <v>60</v>
      </c>
      <c r="I649" s="38">
        <f>(8-1-0.75*2)*60*F649-K649-8*0.12*60</f>
        <v>404.4</v>
      </c>
      <c r="J649" s="38">
        <v>14</v>
      </c>
      <c r="K649" s="38">
        <f>(8-1-0.75*2)*0.65*60*F649</f>
        <v>858</v>
      </c>
      <c r="L649" s="38">
        <v>10.16</v>
      </c>
      <c r="M649" s="38">
        <v>10.16</v>
      </c>
      <c r="N649" s="38">
        <v>10</v>
      </c>
      <c r="O649" s="38">
        <f>E649/F649</f>
        <v>0.25</v>
      </c>
      <c r="P649" s="38">
        <v>0</v>
      </c>
      <c r="Q649" s="38">
        <v>30</v>
      </c>
      <c r="R649" s="275">
        <v>60</v>
      </c>
      <c r="S649" s="275">
        <v>1.99</v>
      </c>
      <c r="T649" s="38">
        <f>ROUND((L649*I649+1.3*L649*K649+S649*H649),4)</f>
        <v>15560.567999999999</v>
      </c>
      <c r="U649" s="38">
        <f>ROUND((M649*I649+1.3*M649*K649+S649*H649),4)</f>
        <v>15560.567999999999</v>
      </c>
      <c r="V649" s="38">
        <f>ROUND((M649*I649+1.3*M649*K649+S649*H649),4)</f>
        <v>15560.567999999999</v>
      </c>
      <c r="W649" s="38">
        <f>ROUND((L649*J649+1.3*L649*N649+S649*G649),4)</f>
        <v>286.26</v>
      </c>
      <c r="X649" s="38">
        <f>ROUND((M649*J649+1.3*M649*N649+S649*G649),4)</f>
        <v>286.26</v>
      </c>
      <c r="Y649" s="38">
        <f>ROUND((M649*J649+1.3*M649*N649+S649*G649),4)</f>
        <v>286.26</v>
      </c>
      <c r="Z649" s="276">
        <f>ROUND((P649*T649*F649*O649/1000000),4)</f>
        <v>0</v>
      </c>
      <c r="AA649" s="276">
        <f>ROUND((Q649*U649*F649*O649/1000000),4)</f>
        <v>0.46679999999999999</v>
      </c>
      <c r="AB649" s="276">
        <f>ROUND((R649*V649*F649*O649/1000000),4)</f>
        <v>0.93359999999999999</v>
      </c>
      <c r="AC649" s="277" t="s">
        <v>165</v>
      </c>
      <c r="AD649" s="278" t="s">
        <v>144</v>
      </c>
      <c r="AE649" s="40">
        <f>ROUND((((X649*E649)/1800)*0.8),4)</f>
        <v>0.12720000000000001</v>
      </c>
      <c r="AF649" s="40">
        <f>ROUND(((Z649+AA649+AB649)*0.8),4)</f>
        <v>1.1203000000000001</v>
      </c>
      <c r="AG649" s="288"/>
      <c r="AH649" s="288"/>
    </row>
    <row r="650" spans="1:35" s="61" customFormat="1" ht="15" customHeight="1" x14ac:dyDescent="0.25">
      <c r="A650" s="260"/>
      <c r="B650" s="280" t="s">
        <v>596</v>
      </c>
      <c r="C650" s="39"/>
      <c r="D650" s="39"/>
      <c r="E650" s="39"/>
      <c r="F650" s="39"/>
      <c r="G650" s="39"/>
      <c r="H650" s="39"/>
      <c r="I650" s="39"/>
      <c r="J650" s="39"/>
      <c r="K650" s="39"/>
      <c r="L650" s="119"/>
      <c r="M650" s="119"/>
      <c r="N650" s="39"/>
      <c r="O650" s="39"/>
      <c r="P650" s="39"/>
      <c r="Q650" s="39"/>
      <c r="R650" s="39"/>
      <c r="S650" s="281"/>
      <c r="T650" s="39"/>
      <c r="U650" s="39"/>
      <c r="V650" s="39"/>
      <c r="W650" s="39"/>
      <c r="X650" s="39"/>
      <c r="Y650" s="39"/>
      <c r="Z650" s="39"/>
      <c r="AA650" s="39"/>
      <c r="AB650" s="39"/>
      <c r="AC650" s="277" t="s">
        <v>166</v>
      </c>
      <c r="AD650" s="278" t="s">
        <v>167</v>
      </c>
      <c r="AE650" s="40">
        <f>ROUND((((X649*E649)/1800)*0.13),4)</f>
        <v>2.07E-2</v>
      </c>
      <c r="AF650" s="40">
        <f>ROUND(((Z649+AA649+AB649)*0.13),4)</f>
        <v>0.18210000000000001</v>
      </c>
      <c r="AG650" s="288"/>
      <c r="AH650" s="288"/>
    </row>
    <row r="651" spans="1:35" s="61" customFormat="1" ht="15" customHeight="1" x14ac:dyDescent="0.25">
      <c r="A651" s="260"/>
      <c r="B651" s="288"/>
      <c r="C651" s="283"/>
      <c r="D651" s="283"/>
      <c r="E651" s="39"/>
      <c r="F651" s="39"/>
      <c r="G651" s="39"/>
      <c r="H651" s="39"/>
      <c r="I651" s="39"/>
      <c r="J651" s="39"/>
      <c r="K651" s="39"/>
      <c r="L651" s="40">
        <v>0.8</v>
      </c>
      <c r="M651" s="40">
        <v>0.98</v>
      </c>
      <c r="N651" s="39"/>
      <c r="O651" s="39"/>
      <c r="P651" s="39"/>
      <c r="Q651" s="39"/>
      <c r="R651" s="39"/>
      <c r="S651" s="284">
        <v>0.39</v>
      </c>
      <c r="T651" s="38">
        <f>ROUND((L651*I649+1.3*L651*K649+S651*H649),4)</f>
        <v>1239.24</v>
      </c>
      <c r="U651" s="38">
        <f>ROUND((M651*0.9*I649+1.3*M651*0.9*K649+S651*H649),4)</f>
        <v>1363.8635999999999</v>
      </c>
      <c r="V651" s="38">
        <f>ROUND((M651*I649+1.3*M651*K649+S651*H649),4)</f>
        <v>1512.8040000000001</v>
      </c>
      <c r="W651" s="38">
        <f>ROUND((L651*J649+1.3*L651*N649+S651*G649),4)</f>
        <v>23.94</v>
      </c>
      <c r="X651" s="38">
        <f>ROUND((M651*0.9*J649+1.3*M651*0.9*N649+S651*G649),4)</f>
        <v>26.154</v>
      </c>
      <c r="Y651" s="38">
        <f>ROUND((M651*J649+1.3*M651*N649+S651*G649),4)</f>
        <v>28.8</v>
      </c>
      <c r="Z651" s="276">
        <f>ROUND((P649*T651*F649*O649/1000000),4)</f>
        <v>0</v>
      </c>
      <c r="AA651" s="276">
        <f>ROUND((Q649*U651*F649*O649/1000000),4)</f>
        <v>4.0899999999999999E-2</v>
      </c>
      <c r="AB651" s="276">
        <f>ROUND((R649*V651*F649*O649/1000000),4)</f>
        <v>9.0800000000000006E-2</v>
      </c>
      <c r="AC651" s="277" t="s">
        <v>547</v>
      </c>
      <c r="AD651" s="278" t="s">
        <v>169</v>
      </c>
      <c r="AE651" s="40">
        <f>ROUND((((X651*E649)/1800)),4)</f>
        <v>1.4500000000000001E-2</v>
      </c>
      <c r="AF651" s="40">
        <f>ROUND(((Z651+AA651+AB651)),5)</f>
        <v>0.13170000000000001</v>
      </c>
      <c r="AG651" s="288"/>
      <c r="AH651" s="288"/>
    </row>
    <row r="652" spans="1:35" s="61" customFormat="1" ht="15" customHeight="1" x14ac:dyDescent="0.25">
      <c r="A652" s="260"/>
      <c r="B652" s="288"/>
      <c r="C652" s="39"/>
      <c r="D652" s="39"/>
      <c r="E652" s="39"/>
      <c r="F652" s="39"/>
      <c r="G652" s="39"/>
      <c r="H652" s="39"/>
      <c r="I652" s="39"/>
      <c r="J652" s="39"/>
      <c r="K652" s="39"/>
      <c r="L652" s="40">
        <v>1.79</v>
      </c>
      <c r="M652" s="40">
        <v>2.15</v>
      </c>
      <c r="N652" s="39"/>
      <c r="O652" s="39"/>
      <c r="P652" s="39"/>
      <c r="Q652" s="39"/>
      <c r="R652" s="39"/>
      <c r="S652" s="285">
        <v>1.24</v>
      </c>
      <c r="T652" s="38">
        <f>ROUND((L652*I649+1.3*L652*K649+S652*H649),4)</f>
        <v>2794.8420000000001</v>
      </c>
      <c r="U652" s="38">
        <f>ROUND((M652*0.9*I649+1.3*M652*0.9*K649+S652*H649),4)</f>
        <v>3015.2130000000002</v>
      </c>
      <c r="V652" s="38">
        <f>ROUND((M652*I649+1.3*M652*K649+S652*H649),4)</f>
        <v>3341.97</v>
      </c>
      <c r="W652" s="38">
        <f>ROUND((L652*J649+1.3*L652*N649+S652*G649),4)</f>
        <v>55.77</v>
      </c>
      <c r="X652" s="38">
        <f>ROUND((M652*0.9*J649+1.3*M652*0.9*N649+S652*G649),4)</f>
        <v>59.685000000000002</v>
      </c>
      <c r="Y652" s="38">
        <f>ROUND((M652*J649+1.3*N649+S652*G649),4)</f>
        <v>50.54</v>
      </c>
      <c r="Z652" s="276">
        <f>ROUND((P649*T652*F649*O649/1000000),4)</f>
        <v>0</v>
      </c>
      <c r="AA652" s="276">
        <f>ROUND((Q649*U652*F649*O649/1000000),4)</f>
        <v>9.0499999999999997E-2</v>
      </c>
      <c r="AB652" s="276">
        <f>ROUND((R649*V652*F649*O649/1000000),4)</f>
        <v>0.20050000000000001</v>
      </c>
      <c r="AC652" s="277" t="s">
        <v>548</v>
      </c>
      <c r="AD652" s="278" t="s">
        <v>549</v>
      </c>
      <c r="AE652" s="40">
        <f>ROUND((((X652*E649)/1800)),4)</f>
        <v>3.32E-2</v>
      </c>
      <c r="AF652" s="40">
        <f>ROUND(((Z652+AA652+AB652)),4)</f>
        <v>0.29099999999999998</v>
      </c>
      <c r="AG652" s="288"/>
      <c r="AH652" s="288"/>
    </row>
    <row r="653" spans="1:35" s="61" customFormat="1" ht="15" customHeight="1" x14ac:dyDescent="0.25">
      <c r="A653" s="260"/>
      <c r="B653" s="280"/>
      <c r="C653" s="39"/>
      <c r="D653" s="39"/>
      <c r="E653" s="39"/>
      <c r="F653" s="39"/>
      <c r="G653" s="39"/>
      <c r="H653" s="39"/>
      <c r="I653" s="39"/>
      <c r="J653" s="39"/>
      <c r="K653" s="39"/>
      <c r="L653" s="40">
        <v>1.1299999999999999</v>
      </c>
      <c r="M653" s="40">
        <v>1.7</v>
      </c>
      <c r="N653" s="39"/>
      <c r="O653" s="39"/>
      <c r="P653" s="39"/>
      <c r="Q653" s="39"/>
      <c r="R653" s="39"/>
      <c r="S653" s="285">
        <v>0.26</v>
      </c>
      <c r="T653" s="38">
        <f>ROUND((L653*I649+1.3*L653*K649+S653*H649),4)</f>
        <v>1732.9739999999999</v>
      </c>
      <c r="U653" s="38">
        <f>ROUND((M653*0.9*I649+1.3*M653*0.9*K649+S653*H649),4)</f>
        <v>2340.8939999999998</v>
      </c>
      <c r="V653" s="38">
        <f>ROUND((M653*I649+1.3*M653*K649+S653*H649),4)</f>
        <v>2599.2600000000002</v>
      </c>
      <c r="W653" s="38">
        <f>ROUND((L653*J649+1.3*L653*N649+S653*G649),4)</f>
        <v>32.07</v>
      </c>
      <c r="X653" s="38">
        <f>ROUND((M653*0.9*J649+1.3*M653*0.9*N649+S653*G649),4)</f>
        <v>42.87</v>
      </c>
      <c r="Y653" s="38">
        <f>ROUND((M653*J649+1.3*M653*N649+S653*G649),4)</f>
        <v>47.46</v>
      </c>
      <c r="Z653" s="276">
        <f>ROUND((P649*T653*F649*O649/1000000),4)</f>
        <v>0</v>
      </c>
      <c r="AA653" s="276">
        <f>ROUND((Q649*U653*F649*O649/1000000),4)</f>
        <v>7.0199999999999999E-2</v>
      </c>
      <c r="AB653" s="276">
        <f>ROUND((R649*V653*F649*O649/1000000),4)</f>
        <v>0.156</v>
      </c>
      <c r="AC653" s="277" t="s">
        <v>172</v>
      </c>
      <c r="AD653" s="278" t="s">
        <v>173</v>
      </c>
      <c r="AE653" s="40">
        <f>ROUND((((X653*E649)/1800)),4)</f>
        <v>2.3800000000000002E-2</v>
      </c>
      <c r="AF653" s="40">
        <f>ROUND(((Z653+AA653+AB653)),4)</f>
        <v>0.22620000000000001</v>
      </c>
      <c r="AG653" s="288"/>
      <c r="AH653" s="288"/>
    </row>
    <row r="654" spans="1:35" s="61" customFormat="1" ht="15" customHeight="1" x14ac:dyDescent="0.25">
      <c r="A654" s="260"/>
      <c r="B654" s="286"/>
      <c r="C654" s="119"/>
      <c r="D654" s="119"/>
      <c r="E654" s="119"/>
      <c r="F654" s="119"/>
      <c r="G654" s="119"/>
      <c r="H654" s="119"/>
      <c r="I654" s="119"/>
      <c r="J654" s="119"/>
      <c r="K654" s="119"/>
      <c r="L654" s="40">
        <v>5.3</v>
      </c>
      <c r="M654" s="40">
        <v>6.47</v>
      </c>
      <c r="N654" s="119"/>
      <c r="O654" s="119"/>
      <c r="P654" s="119"/>
      <c r="Q654" s="119"/>
      <c r="R654" s="119"/>
      <c r="S654" s="285">
        <v>9.92</v>
      </c>
      <c r="T654" s="38">
        <f>ROUND((L654*I649+1.3*L654*K649+S654*H649),4)</f>
        <v>8650.14</v>
      </c>
      <c r="U654" s="38">
        <f>ROUND((M654*0.9*I649+1.3*M654*0.9*K649+S654*H649),4)</f>
        <v>9444.9953999999998</v>
      </c>
      <c r="V654" s="38">
        <f>ROUND((M654*I649+1.3*M654*K649+S654*H649),4)</f>
        <v>10428.306</v>
      </c>
      <c r="W654" s="38">
        <f>ROUND((L654*J649+1.3*L654*N649+S654*G649),4)</f>
        <v>202.62</v>
      </c>
      <c r="X654" s="38">
        <f>ROUND((M654*0.9*J649+1.3*M654*0.9*N649+S654*G649),4)</f>
        <v>216.74100000000001</v>
      </c>
      <c r="Y654" s="38">
        <f>ROUND((M654*J649+1.3*M654*N649+S654*G649),4)</f>
        <v>234.21</v>
      </c>
      <c r="Z654" s="276">
        <f>ROUND((P649*T654*F649*O649/1000000),4)</f>
        <v>0</v>
      </c>
      <c r="AA654" s="276">
        <f>ROUND((Q649*U654*F649*O649/1000000),4)</f>
        <v>0.2833</v>
      </c>
      <c r="AB654" s="276">
        <f>ROUND((R649*V654*F649*O649/1000000),4)</f>
        <v>0.62570000000000003</v>
      </c>
      <c r="AC654" s="277" t="s">
        <v>157</v>
      </c>
      <c r="AD654" s="278" t="s">
        <v>153</v>
      </c>
      <c r="AE654" s="40">
        <f>ROUND((((X654*E649)/1800)),4)</f>
        <v>0.12039999999999999</v>
      </c>
      <c r="AF654" s="40">
        <f>ROUND(((Z654+AA654+AB654)),4)</f>
        <v>0.90900000000000003</v>
      </c>
      <c r="AG654" s="288"/>
      <c r="AH654" s="288"/>
    </row>
    <row r="655" spans="1:35" s="61" customFormat="1" ht="15" customHeight="1" x14ac:dyDescent="0.25">
      <c r="A655" s="260"/>
      <c r="B655" s="1478" t="s">
        <v>597</v>
      </c>
      <c r="C655" s="274">
        <v>5</v>
      </c>
      <c r="D655" s="38" t="s">
        <v>552</v>
      </c>
      <c r="E655" s="38">
        <v>1</v>
      </c>
      <c r="F655" s="38">
        <v>2</v>
      </c>
      <c r="G655" s="38">
        <v>6</v>
      </c>
      <c r="H655" s="38">
        <v>60</v>
      </c>
      <c r="I655" s="38">
        <f>(8-1-0.75*2)*60*F655-K655-8*0.12*60</f>
        <v>173.4</v>
      </c>
      <c r="J655" s="38">
        <v>14</v>
      </c>
      <c r="K655" s="38">
        <f>(8-1-0.75*2)*0.65*60*F655</f>
        <v>429</v>
      </c>
      <c r="L655" s="38">
        <v>4.01</v>
      </c>
      <c r="M655" s="38">
        <v>4.01</v>
      </c>
      <c r="N655" s="38">
        <v>10</v>
      </c>
      <c r="O655" s="38">
        <f>E655/F655</f>
        <v>0.5</v>
      </c>
      <c r="P655" s="38">
        <v>0</v>
      </c>
      <c r="Q655" s="38">
        <v>30</v>
      </c>
      <c r="R655" s="275">
        <v>60</v>
      </c>
      <c r="S655" s="275">
        <v>0.78</v>
      </c>
      <c r="T655" s="38">
        <f>ROUND((L655*I655+1.3*L655*K655+S655*H655),4)</f>
        <v>2978.511</v>
      </c>
      <c r="U655" s="38">
        <f>ROUND((M655*I655+1.3*M655*K655+S655*H655),4)</f>
        <v>2978.511</v>
      </c>
      <c r="V655" s="38">
        <f>ROUND((M655*I655+1.3*M655*K655+S655*H655),4)</f>
        <v>2978.511</v>
      </c>
      <c r="W655" s="38">
        <f>ROUND((L655*J655+1.3*L655*N655+S655*G655),4)</f>
        <v>112.95</v>
      </c>
      <c r="X655" s="38">
        <f>ROUND((M655*J655+1.3*M655*N655+S655*G655),4)</f>
        <v>112.95</v>
      </c>
      <c r="Y655" s="38">
        <f>ROUND((M655*J655+1.3*M655*N655+S655*G655),4)</f>
        <v>112.95</v>
      </c>
      <c r="Z655" s="276">
        <f>ROUND((P655*T655*F655*O655/1000000),4)</f>
        <v>0</v>
      </c>
      <c r="AA655" s="276">
        <f>ROUND((Q655*U655*F655*O655/1000000),4)</f>
        <v>8.9399999999999993E-2</v>
      </c>
      <c r="AB655" s="276">
        <f>ROUND((R655*V655*F655*O655/1000000),4)</f>
        <v>0.1787</v>
      </c>
      <c r="AC655" s="277" t="s">
        <v>165</v>
      </c>
      <c r="AD655" s="278" t="s">
        <v>144</v>
      </c>
      <c r="AE655" s="40">
        <f>ROUND((((X655*E655)/1800)*0.8),4)</f>
        <v>5.0200000000000002E-2</v>
      </c>
      <c r="AF655" s="40">
        <f>ROUND(((Z655+AA655+AB655)*0.8),4)</f>
        <v>0.2145</v>
      </c>
      <c r="AG655" s="288"/>
      <c r="AH655" s="254"/>
    </row>
    <row r="656" spans="1:35" s="61" customFormat="1" ht="15" customHeight="1" x14ac:dyDescent="0.25">
      <c r="A656" s="260"/>
      <c r="B656" s="1634"/>
      <c r="C656" s="280"/>
      <c r="D656" s="39"/>
      <c r="E656" s="39"/>
      <c r="F656" s="39"/>
      <c r="G656" s="39"/>
      <c r="H656" s="39"/>
      <c r="I656" s="39"/>
      <c r="J656" s="39"/>
      <c r="K656" s="39"/>
      <c r="L656" s="119"/>
      <c r="M656" s="119"/>
      <c r="N656" s="39"/>
      <c r="O656" s="39"/>
      <c r="P656" s="39"/>
      <c r="Q656" s="39"/>
      <c r="R656" s="39"/>
      <c r="S656" s="281"/>
      <c r="T656" s="39"/>
      <c r="U656" s="39"/>
      <c r="V656" s="39"/>
      <c r="W656" s="39"/>
      <c r="X656" s="39"/>
      <c r="Y656" s="39"/>
      <c r="Z656" s="39"/>
      <c r="AA656" s="39"/>
      <c r="AB656" s="39"/>
      <c r="AC656" s="277" t="s">
        <v>166</v>
      </c>
      <c r="AD656" s="278" t="s">
        <v>167</v>
      </c>
      <c r="AE656" s="40">
        <f>ROUND((((X655*E655)/1800)*0.13),4)</f>
        <v>8.2000000000000007E-3</v>
      </c>
      <c r="AF656" s="40">
        <f>ROUND(((Z655+AA655+AB655)*0.13),4)</f>
        <v>3.49E-2</v>
      </c>
      <c r="AG656" s="288"/>
      <c r="AH656" s="254"/>
    </row>
    <row r="657" spans="1:34" s="61" customFormat="1" ht="15" customHeight="1" x14ac:dyDescent="0.25">
      <c r="A657" s="260"/>
      <c r="B657" s="279" t="s">
        <v>598</v>
      </c>
      <c r="C657" s="282"/>
      <c r="D657" s="283"/>
      <c r="E657" s="39"/>
      <c r="F657" s="39"/>
      <c r="G657" s="39"/>
      <c r="H657" s="39"/>
      <c r="I657" s="39"/>
      <c r="J657" s="39"/>
      <c r="K657" s="39"/>
      <c r="L657" s="40">
        <v>0.31</v>
      </c>
      <c r="M657" s="40">
        <v>0.38</v>
      </c>
      <c r="N657" s="39"/>
      <c r="O657" s="39"/>
      <c r="P657" s="39"/>
      <c r="Q657" s="39"/>
      <c r="R657" s="39"/>
      <c r="S657" s="284">
        <v>0.16</v>
      </c>
      <c r="T657" s="38">
        <f>ROUND((L657*I655+1.3*L657*K655+S657*H655),4)</f>
        <v>236.24100000000001</v>
      </c>
      <c r="U657" s="38">
        <f>ROUND((M657*0.9*I655+1.3*M657*0.9*K655+S657*H655),4)</f>
        <v>259.63619999999997</v>
      </c>
      <c r="V657" s="38">
        <f>ROUND((M657*I655+1.3*M657*K655+S657*H655),4)</f>
        <v>287.41800000000001</v>
      </c>
      <c r="W657" s="38">
        <f>ROUND((L657*J655+1.3*L657*N655+S657*G655),4)</f>
        <v>9.33</v>
      </c>
      <c r="X657" s="38">
        <f>ROUND((M657*0.9*J655+1.3*M657*0.9*N655+S657*G655),4)</f>
        <v>10.194000000000001</v>
      </c>
      <c r="Y657" s="38">
        <f>ROUND((M657*J655+1.3*M657*N655+S657*G655),4)</f>
        <v>11.22</v>
      </c>
      <c r="Z657" s="276">
        <f>ROUND((P655*T657*F655*O655/1000000),4)</f>
        <v>0</v>
      </c>
      <c r="AA657" s="276">
        <f>ROUND((Q655*U657*F655*O655/1000000),4)</f>
        <v>7.7999999999999996E-3</v>
      </c>
      <c r="AB657" s="276">
        <f>ROUND((R655*V657*F655*O655/1000000),4)</f>
        <v>1.72E-2</v>
      </c>
      <c r="AC657" s="277" t="s">
        <v>547</v>
      </c>
      <c r="AD657" s="278" t="s">
        <v>169</v>
      </c>
      <c r="AE657" s="40">
        <f>ROUND((((X657*E655)/1800)),4)</f>
        <v>5.7000000000000002E-3</v>
      </c>
      <c r="AF657" s="40">
        <f>ROUND(((Z657+AA657+AB657)),5)</f>
        <v>2.5000000000000001E-2</v>
      </c>
      <c r="AG657" s="288"/>
      <c r="AH657" s="254"/>
    </row>
    <row r="658" spans="1:34" s="61" customFormat="1" ht="15" customHeight="1" x14ac:dyDescent="0.25">
      <c r="A658" s="260"/>
      <c r="B658" s="280"/>
      <c r="C658" s="280"/>
      <c r="D658" s="39"/>
      <c r="E658" s="39"/>
      <c r="F658" s="39"/>
      <c r="G658" s="39"/>
      <c r="H658" s="39"/>
      <c r="I658" s="39"/>
      <c r="J658" s="39"/>
      <c r="K658" s="39"/>
      <c r="L658" s="40">
        <v>0.71</v>
      </c>
      <c r="M658" s="40">
        <v>0.85</v>
      </c>
      <c r="N658" s="39"/>
      <c r="O658" s="39"/>
      <c r="P658" s="39"/>
      <c r="Q658" s="39"/>
      <c r="R658" s="39"/>
      <c r="S658" s="285">
        <v>0.49</v>
      </c>
      <c r="T658" s="38">
        <f>ROUND((L658*I655+1.3*L658*K655+S658*H655),4)</f>
        <v>548.48099999999999</v>
      </c>
      <c r="U658" s="38">
        <f>ROUND((M658*0.9*I655+1.3*M658*0.9*K655+S658*H655),4)</f>
        <v>588.69150000000002</v>
      </c>
      <c r="V658" s="38">
        <f>ROUND((M658*I655+1.3*M658*K655+S658*H655),4)</f>
        <v>650.83500000000004</v>
      </c>
      <c r="W658" s="38">
        <f>ROUND((L658*J655+1.3*L658*N655+S658*G655),4)</f>
        <v>22.11</v>
      </c>
      <c r="X658" s="38">
        <f>ROUND((M658*0.9*J655+1.3*M658*0.9*N655+S658*G655),4)</f>
        <v>23.594999999999999</v>
      </c>
      <c r="Y658" s="38">
        <f>ROUND((M658*J655+1.3*N655+S658*G655),4)</f>
        <v>27.84</v>
      </c>
      <c r="Z658" s="276">
        <f>ROUND((P655*T658*F655*O655/1000000),4)</f>
        <v>0</v>
      </c>
      <c r="AA658" s="276">
        <f>ROUND((Q655*U658*F655*O655/1000000),4)</f>
        <v>1.77E-2</v>
      </c>
      <c r="AB658" s="276">
        <f>ROUND((R655*V658*F655*O655/1000000),4)</f>
        <v>3.9100000000000003E-2</v>
      </c>
      <c r="AC658" s="277" t="s">
        <v>548</v>
      </c>
      <c r="AD658" s="278" t="s">
        <v>549</v>
      </c>
      <c r="AE658" s="40">
        <f>ROUND((((X658*E655)/1800)),4)</f>
        <v>1.3100000000000001E-2</v>
      </c>
      <c r="AF658" s="40">
        <f>ROUND(((Z658+AA658+AB658)),4)</f>
        <v>5.6800000000000003E-2</v>
      </c>
      <c r="AG658" s="288"/>
      <c r="AH658" s="254"/>
    </row>
    <row r="659" spans="1:34" s="61" customFormat="1" ht="15" customHeight="1" x14ac:dyDescent="0.25">
      <c r="A659" s="260"/>
      <c r="B659" s="280"/>
      <c r="C659" s="280"/>
      <c r="D659" s="39"/>
      <c r="E659" s="39"/>
      <c r="F659" s="39"/>
      <c r="G659" s="39"/>
      <c r="H659" s="39"/>
      <c r="I659" s="39"/>
      <c r="J659" s="39"/>
      <c r="K659" s="39"/>
      <c r="L659" s="40">
        <v>0.45</v>
      </c>
      <c r="M659" s="40">
        <v>0.67</v>
      </c>
      <c r="N659" s="39"/>
      <c r="O659" s="39"/>
      <c r="P659" s="39"/>
      <c r="Q659" s="39"/>
      <c r="R659" s="39"/>
      <c r="S659" s="285">
        <v>0.1</v>
      </c>
      <c r="T659" s="38">
        <f>ROUND((L659*I655+1.3*L659*K655+S659*H655),4)</f>
        <v>334.995</v>
      </c>
      <c r="U659" s="38">
        <f>ROUND((M659*0.9*I655+1.3*M659*0.9*K655+S659*H655),4)</f>
        <v>446.85329999999999</v>
      </c>
      <c r="V659" s="38">
        <f>ROUND((M659*I655+1.3*M659*K655+S659*H655),4)</f>
        <v>495.83699999999999</v>
      </c>
      <c r="W659" s="38">
        <f>ROUND((L659*J655+1.3*L659*N655+S659*G655),4)</f>
        <v>12.75</v>
      </c>
      <c r="X659" s="38">
        <f>ROUND((M659*0.9*J655+1.3*M659*0.9*N655+S659*G655),4)</f>
        <v>16.881</v>
      </c>
      <c r="Y659" s="38">
        <f>ROUND((M659*J655+1.3*M659*N655+S659*G655),4)</f>
        <v>18.690000000000001</v>
      </c>
      <c r="Z659" s="276">
        <f>ROUND((P655*T659*F655*O655/1000000),4)</f>
        <v>0</v>
      </c>
      <c r="AA659" s="276">
        <f>ROUND((Q655*U659*F655*O655/1000000),4)</f>
        <v>1.34E-2</v>
      </c>
      <c r="AB659" s="276">
        <f>ROUND((R655*V659*F655*O655/1000000),4)</f>
        <v>2.98E-2</v>
      </c>
      <c r="AC659" s="277" t="s">
        <v>172</v>
      </c>
      <c r="AD659" s="278" t="s">
        <v>173</v>
      </c>
      <c r="AE659" s="40">
        <f>ROUND((((X659*E655)/1800)),4)</f>
        <v>9.4000000000000004E-3</v>
      </c>
      <c r="AF659" s="40">
        <f>ROUND(((Z659+AA659+AB659)),4)</f>
        <v>4.3200000000000002E-2</v>
      </c>
      <c r="AG659" s="288"/>
      <c r="AH659" s="254"/>
    </row>
    <row r="660" spans="1:34" s="61" customFormat="1" ht="15" customHeight="1" x14ac:dyDescent="0.25">
      <c r="A660" s="260"/>
      <c r="B660" s="286"/>
      <c r="C660" s="286"/>
      <c r="D660" s="119"/>
      <c r="E660" s="119"/>
      <c r="F660" s="119"/>
      <c r="G660" s="119"/>
      <c r="H660" s="119"/>
      <c r="I660" s="119"/>
      <c r="J660" s="119"/>
      <c r="K660" s="119"/>
      <c r="L660" s="40">
        <v>2.09</v>
      </c>
      <c r="M660" s="40">
        <v>2.5499999999999998</v>
      </c>
      <c r="N660" s="119"/>
      <c r="O660" s="119"/>
      <c r="P660" s="119"/>
      <c r="Q660" s="119"/>
      <c r="R660" s="119"/>
      <c r="S660" s="285">
        <v>3.91</v>
      </c>
      <c r="T660" s="38">
        <f>ROUND((L660*I655+1.3*L660*K655+S660*H655),4)</f>
        <v>1762.5989999999999</v>
      </c>
      <c r="U660" s="38">
        <f>ROUND((M660*0.9*I655+1.3*M660*0.9*K655+S660*H655),4)</f>
        <v>1912.4745</v>
      </c>
      <c r="V660" s="38">
        <f>ROUND((M660*I655+1.3*M660*K655+S660*H655),4)</f>
        <v>2098.9050000000002</v>
      </c>
      <c r="W660" s="38">
        <f>ROUND((L660*J655+1.3*L660*N655+S660*G655),4)</f>
        <v>79.89</v>
      </c>
      <c r="X660" s="38">
        <f>ROUND((M660*0.9*J655+1.3*M660*0.9*N655+S660*G655),4)</f>
        <v>85.424999999999997</v>
      </c>
      <c r="Y660" s="38">
        <f>ROUND((M660*J655+1.3*M660*N655+S660*G655),4)</f>
        <v>92.31</v>
      </c>
      <c r="Z660" s="276">
        <f>ROUND((P655*T660*F655*O655/1000000),4)</f>
        <v>0</v>
      </c>
      <c r="AA660" s="276">
        <f>ROUND((Q655*U660*F655*O655/1000000),4)</f>
        <v>5.74E-2</v>
      </c>
      <c r="AB660" s="276">
        <f>ROUND((R655*V660*F655*O655/1000000),4)</f>
        <v>0.12590000000000001</v>
      </c>
      <c r="AC660" s="277" t="s">
        <v>157</v>
      </c>
      <c r="AD660" s="278" t="s">
        <v>153</v>
      </c>
      <c r="AE660" s="40">
        <f>ROUND((((X660*E655)/1800)),4)</f>
        <v>4.7500000000000001E-2</v>
      </c>
      <c r="AF660" s="40">
        <f>ROUND(((Z660+AA660+AB660)),4)</f>
        <v>0.18329999999999999</v>
      </c>
      <c r="AG660" s="288"/>
      <c r="AH660" s="254"/>
    </row>
    <row r="661" spans="1:34" s="61" customFormat="1" ht="15" customHeight="1" x14ac:dyDescent="0.25">
      <c r="A661" s="260"/>
      <c r="B661" s="274" t="s">
        <v>599</v>
      </c>
      <c r="C661" s="274">
        <v>5</v>
      </c>
      <c r="D661" s="38" t="s">
        <v>552</v>
      </c>
      <c r="E661" s="38">
        <v>1</v>
      </c>
      <c r="F661" s="38">
        <v>1</v>
      </c>
      <c r="G661" s="38">
        <v>6</v>
      </c>
      <c r="H661" s="38">
        <v>60</v>
      </c>
      <c r="I661" s="38">
        <f>(8-1-0.75*2)*60*F661-K661-8*0.12*60</f>
        <v>57.900000000000006</v>
      </c>
      <c r="J661" s="38">
        <v>14</v>
      </c>
      <c r="K661" s="38">
        <f>(8-1-0.75*2)*0.65*60*F661</f>
        <v>214.5</v>
      </c>
      <c r="L661" s="38">
        <v>4.01</v>
      </c>
      <c r="M661" s="38">
        <v>4.01</v>
      </c>
      <c r="N661" s="38">
        <v>10</v>
      </c>
      <c r="O661" s="38">
        <f>E661/F661</f>
        <v>1</v>
      </c>
      <c r="P661" s="38">
        <v>0</v>
      </c>
      <c r="Q661" s="38">
        <v>30</v>
      </c>
      <c r="R661" s="275">
        <v>60</v>
      </c>
      <c r="S661" s="275">
        <v>0.78</v>
      </c>
      <c r="T661" s="38">
        <f>ROUND((L661*I661+1.3*L661*K661+S661*H661),4)</f>
        <v>1397.1675</v>
      </c>
      <c r="U661" s="38">
        <f>ROUND((M661*I661+1.3*M661*K661+S661*H661),4)</f>
        <v>1397.1675</v>
      </c>
      <c r="V661" s="38">
        <f>ROUND((M661*I661+1.3*M661*K661+S661*H661),4)</f>
        <v>1397.1675</v>
      </c>
      <c r="W661" s="38">
        <f>ROUND((L661*J661+1.3*L661*N661+S661*G661),4)</f>
        <v>112.95</v>
      </c>
      <c r="X661" s="38">
        <f>ROUND((M661*J661+1.3*M661*N661+S661*G661),4)</f>
        <v>112.95</v>
      </c>
      <c r="Y661" s="38">
        <f>ROUND((M661*J661+1.3*M661*N661+S661*G661),4)</f>
        <v>112.95</v>
      </c>
      <c r="Z661" s="276">
        <f>ROUND((P661*T661*F661*O661/1000000),4)</f>
        <v>0</v>
      </c>
      <c r="AA661" s="276">
        <f>ROUND((Q661*U661*F661*O661/1000000),4)</f>
        <v>4.19E-2</v>
      </c>
      <c r="AB661" s="276">
        <f>ROUND((R661*V661*F661*O661/1000000),4)</f>
        <v>8.3799999999999999E-2</v>
      </c>
      <c r="AC661" s="277" t="s">
        <v>165</v>
      </c>
      <c r="AD661" s="278" t="s">
        <v>144</v>
      </c>
      <c r="AE661" s="40">
        <f>ROUND((((X661*E661)/1800)*0.8),4)</f>
        <v>5.0200000000000002E-2</v>
      </c>
      <c r="AF661" s="40">
        <f>ROUND(((Z661+AA661+AB661)*0.8),4)</f>
        <v>0.10059999999999999</v>
      </c>
      <c r="AG661" s="288"/>
      <c r="AH661" s="254"/>
    </row>
    <row r="662" spans="1:34" s="61" customFormat="1" ht="15" customHeight="1" x14ac:dyDescent="0.25">
      <c r="A662" s="260"/>
      <c r="B662" s="279" t="s">
        <v>600</v>
      </c>
      <c r="C662" s="280"/>
      <c r="D662" s="39"/>
      <c r="E662" s="39"/>
      <c r="F662" s="39"/>
      <c r="G662" s="39"/>
      <c r="H662" s="39"/>
      <c r="I662" s="39"/>
      <c r="J662" s="39"/>
      <c r="K662" s="39"/>
      <c r="L662" s="119"/>
      <c r="M662" s="119"/>
      <c r="N662" s="39"/>
      <c r="O662" s="39"/>
      <c r="P662" s="39"/>
      <c r="Q662" s="39"/>
      <c r="R662" s="39"/>
      <c r="S662" s="281"/>
      <c r="T662" s="39"/>
      <c r="U662" s="39"/>
      <c r="V662" s="39"/>
      <c r="W662" s="39"/>
      <c r="X662" s="39"/>
      <c r="Y662" s="39"/>
      <c r="Z662" s="39"/>
      <c r="AA662" s="39"/>
      <c r="AB662" s="39"/>
      <c r="AC662" s="277" t="s">
        <v>166</v>
      </c>
      <c r="AD662" s="278" t="s">
        <v>167</v>
      </c>
      <c r="AE662" s="40">
        <f>ROUND((((X661*E661)/1800)*0.13),4)</f>
        <v>8.2000000000000007E-3</v>
      </c>
      <c r="AF662" s="40">
        <f>ROUND(((Z661+AA661+AB661)*0.13),4)</f>
        <v>1.6299999999999999E-2</v>
      </c>
      <c r="AG662" s="288"/>
      <c r="AH662" s="254"/>
    </row>
    <row r="663" spans="1:34" s="61" customFormat="1" ht="15" customHeight="1" x14ac:dyDescent="0.25">
      <c r="A663" s="260"/>
      <c r="B663" s="280"/>
      <c r="C663" s="282"/>
      <c r="D663" s="283"/>
      <c r="E663" s="39"/>
      <c r="F663" s="39"/>
      <c r="G663" s="39"/>
      <c r="H663" s="39"/>
      <c r="I663" s="39"/>
      <c r="J663" s="39"/>
      <c r="K663" s="39"/>
      <c r="L663" s="40">
        <v>0.31</v>
      </c>
      <c r="M663" s="40">
        <v>0.38</v>
      </c>
      <c r="N663" s="39"/>
      <c r="O663" s="39"/>
      <c r="P663" s="39"/>
      <c r="Q663" s="39"/>
      <c r="R663" s="39"/>
      <c r="S663" s="284">
        <v>0.16</v>
      </c>
      <c r="T663" s="38">
        <f>ROUND((L663*I661+1.3*L663*K661+S663*H661),4)</f>
        <v>113.99250000000001</v>
      </c>
      <c r="U663" s="38">
        <f>ROUND((M663*0.9*I661+1.3*M663*0.9*K661+S663*H661),4)</f>
        <v>124.7685</v>
      </c>
      <c r="V663" s="38">
        <f>ROUND((M663*I661+1.3*M663*K661+S663*H661),4)</f>
        <v>137.565</v>
      </c>
      <c r="W663" s="38">
        <f>ROUND((L663*J661+1.3*L663*N661+S663*G661),4)</f>
        <v>9.33</v>
      </c>
      <c r="X663" s="38">
        <f>ROUND((M663*0.9*J661+1.3*M663*0.9*N661+S663*G661),4)</f>
        <v>10.194000000000001</v>
      </c>
      <c r="Y663" s="38">
        <f>ROUND((M663*J661+1.3*M663*N661+S663*G661),4)</f>
        <v>11.22</v>
      </c>
      <c r="Z663" s="276">
        <f>ROUND((P661*T663*F661*O661/1000000),4)</f>
        <v>0</v>
      </c>
      <c r="AA663" s="276">
        <f>ROUND((Q661*U663*F661*O661/1000000),4)</f>
        <v>3.7000000000000002E-3</v>
      </c>
      <c r="AB663" s="276">
        <f>ROUND((R661*V663*F661*O661/1000000),4)</f>
        <v>8.3000000000000001E-3</v>
      </c>
      <c r="AC663" s="277" t="s">
        <v>547</v>
      </c>
      <c r="AD663" s="278" t="s">
        <v>169</v>
      </c>
      <c r="AE663" s="40">
        <f>ROUND((((X663*E661)/1800)),4)</f>
        <v>5.7000000000000002E-3</v>
      </c>
      <c r="AF663" s="40">
        <f>ROUND(((Z663+AA663+AB663)),5)</f>
        <v>1.2E-2</v>
      </c>
      <c r="AG663" s="288"/>
      <c r="AH663" s="254"/>
    </row>
    <row r="664" spans="1:34" s="61" customFormat="1" ht="15" customHeight="1" x14ac:dyDescent="0.25">
      <c r="A664" s="260"/>
      <c r="B664" s="280"/>
      <c r="C664" s="280"/>
      <c r="D664" s="39"/>
      <c r="E664" s="39"/>
      <c r="F664" s="39"/>
      <c r="G664" s="39"/>
      <c r="H664" s="39"/>
      <c r="I664" s="39"/>
      <c r="J664" s="39"/>
      <c r="K664" s="39"/>
      <c r="L664" s="40">
        <v>0.71</v>
      </c>
      <c r="M664" s="40">
        <v>0.85</v>
      </c>
      <c r="N664" s="39"/>
      <c r="O664" s="39"/>
      <c r="P664" s="39"/>
      <c r="Q664" s="39"/>
      <c r="R664" s="39"/>
      <c r="S664" s="285">
        <v>0.49</v>
      </c>
      <c r="T664" s="38">
        <f>ROUND((L664*I661+1.3*L664*K661+S664*H661),4)</f>
        <v>268.49250000000001</v>
      </c>
      <c r="U664" s="38">
        <f>ROUND((M664*0.9*I661+1.3*M664*0.9*K661+S664*H661),4)</f>
        <v>287.0138</v>
      </c>
      <c r="V664" s="38">
        <f>ROUND((M664*I661+1.3*M664*K661+S664*H661),4)</f>
        <v>315.63749999999999</v>
      </c>
      <c r="W664" s="38">
        <f>ROUND((L664*J661+1.3*L664*N661+S664*G661),4)</f>
        <v>22.11</v>
      </c>
      <c r="X664" s="38">
        <f>ROUND((M664*0.9*J661+1.3*M664*0.9*N661+S664*G661),4)</f>
        <v>23.594999999999999</v>
      </c>
      <c r="Y664" s="38">
        <f>ROUND((M664*J661+1.3*N661+S664*G661),4)</f>
        <v>27.84</v>
      </c>
      <c r="Z664" s="276">
        <f>ROUND((P661*T664*F661*O661/1000000),4)</f>
        <v>0</v>
      </c>
      <c r="AA664" s="276">
        <f>ROUND((Q661*U664*F661*O661/1000000),4)</f>
        <v>8.6E-3</v>
      </c>
      <c r="AB664" s="276">
        <f>ROUND((R661*V664*F661*O661/1000000),4)</f>
        <v>1.89E-2</v>
      </c>
      <c r="AC664" s="277" t="s">
        <v>548</v>
      </c>
      <c r="AD664" s="278" t="s">
        <v>549</v>
      </c>
      <c r="AE664" s="40">
        <f>ROUND((((X664*E661)/1800)),4)</f>
        <v>1.3100000000000001E-2</v>
      </c>
      <c r="AF664" s="40">
        <f>ROUND(((Z664+AA664+AB664)),4)</f>
        <v>2.75E-2</v>
      </c>
      <c r="AG664" s="288"/>
      <c r="AH664" s="254"/>
    </row>
    <row r="665" spans="1:34" s="61" customFormat="1" ht="15" customHeight="1" x14ac:dyDescent="0.25">
      <c r="A665" s="260"/>
      <c r="B665" s="280"/>
      <c r="C665" s="280"/>
      <c r="D665" s="39"/>
      <c r="E665" s="39"/>
      <c r="F665" s="39"/>
      <c r="G665" s="39"/>
      <c r="H665" s="39"/>
      <c r="I665" s="39"/>
      <c r="J665" s="39"/>
      <c r="K665" s="39"/>
      <c r="L665" s="40">
        <v>0.45</v>
      </c>
      <c r="M665" s="40">
        <v>0.67</v>
      </c>
      <c r="N665" s="39"/>
      <c r="O665" s="39"/>
      <c r="P665" s="39"/>
      <c r="Q665" s="39"/>
      <c r="R665" s="39"/>
      <c r="S665" s="285">
        <v>0.1</v>
      </c>
      <c r="T665" s="38">
        <f>ROUND((L665*I661+1.3*L665*K661+S665*H661),4)</f>
        <v>157.53749999999999</v>
      </c>
      <c r="U665" s="38">
        <f>ROUND((M665*0.9*I661+1.3*M665*0.9*K661+S665*H661),4)</f>
        <v>209.06030000000001</v>
      </c>
      <c r="V665" s="38">
        <f>ROUND((M665*I661+1.3*M665*K661+S665*H661),4)</f>
        <v>231.6225</v>
      </c>
      <c r="W665" s="38">
        <f>ROUND((L665*J661+1.3*L665*N661+S665*G661),4)</f>
        <v>12.75</v>
      </c>
      <c r="X665" s="38">
        <f>ROUND((M665*0.9*J661+1.3*M665*0.9*N661+S665*G661),4)</f>
        <v>16.881</v>
      </c>
      <c r="Y665" s="38">
        <f>ROUND((M665*J661+1.3*M665*N661+S665*G661),4)</f>
        <v>18.690000000000001</v>
      </c>
      <c r="Z665" s="276">
        <f>ROUND((P661*T665*F661*O661/1000000),4)</f>
        <v>0</v>
      </c>
      <c r="AA665" s="276">
        <f>ROUND((Q661*U665*F661*O661/1000000),4)</f>
        <v>6.3E-3</v>
      </c>
      <c r="AB665" s="276">
        <f>ROUND((R661*V665*F661*O661/1000000),4)</f>
        <v>1.3899999999999999E-2</v>
      </c>
      <c r="AC665" s="277" t="s">
        <v>172</v>
      </c>
      <c r="AD665" s="278" t="s">
        <v>173</v>
      </c>
      <c r="AE665" s="40">
        <f>ROUND((((X665*E661)/1800)),4)</f>
        <v>9.4000000000000004E-3</v>
      </c>
      <c r="AF665" s="40">
        <f>ROUND(((Z665+AA665+AB665)),4)</f>
        <v>2.0199999999999999E-2</v>
      </c>
      <c r="AG665" s="288"/>
      <c r="AH665" s="254"/>
    </row>
    <row r="666" spans="1:34" s="61" customFormat="1" ht="15" customHeight="1" x14ac:dyDescent="0.25">
      <c r="A666" s="260"/>
      <c r="B666" s="286"/>
      <c r="C666" s="286"/>
      <c r="D666" s="119"/>
      <c r="E666" s="119"/>
      <c r="F666" s="119"/>
      <c r="G666" s="119"/>
      <c r="H666" s="119"/>
      <c r="I666" s="119"/>
      <c r="J666" s="119"/>
      <c r="K666" s="119"/>
      <c r="L666" s="40">
        <v>2.09</v>
      </c>
      <c r="M666" s="40">
        <v>2.5499999999999998</v>
      </c>
      <c r="N666" s="119"/>
      <c r="O666" s="119"/>
      <c r="P666" s="119"/>
      <c r="Q666" s="119"/>
      <c r="R666" s="119"/>
      <c r="S666" s="285">
        <v>3.91</v>
      </c>
      <c r="T666" s="38">
        <f>ROUND((L666*I661+1.3*L666*K661+S666*H661),4)</f>
        <v>938.40750000000003</v>
      </c>
      <c r="U666" s="38">
        <f>ROUND((M666*0.9*I661+1.3*M666*0.9*K661+S666*H661),4)</f>
        <v>1007.4413</v>
      </c>
      <c r="V666" s="38">
        <f>ROUND((M666*I661+1.3*M666*K661+S666*H661),4)</f>
        <v>1093.3125</v>
      </c>
      <c r="W666" s="38">
        <f>ROUND((L666*J661+1.3*L666*N661+S666*G661),4)</f>
        <v>79.89</v>
      </c>
      <c r="X666" s="38">
        <f>ROUND((M666*0.9*J661+1.3*M666*0.9*N661+S666*G661),4)</f>
        <v>85.424999999999997</v>
      </c>
      <c r="Y666" s="38">
        <f>ROUND((M666*J661+1.3*M666*N661+S666*G661),4)</f>
        <v>92.31</v>
      </c>
      <c r="Z666" s="276">
        <f>ROUND((P661*T666*F661*O661/1000000),4)</f>
        <v>0</v>
      </c>
      <c r="AA666" s="276">
        <f>ROUND((Q661*U666*F661*O661/1000000),4)</f>
        <v>3.0200000000000001E-2</v>
      </c>
      <c r="AB666" s="276">
        <f>ROUND((R661*V666*F661*O661/1000000),4)</f>
        <v>6.5600000000000006E-2</v>
      </c>
      <c r="AC666" s="277" t="s">
        <v>157</v>
      </c>
      <c r="AD666" s="278" t="s">
        <v>153</v>
      </c>
      <c r="AE666" s="40">
        <f>ROUND((((X666*E661)/1800)),4)</f>
        <v>4.7500000000000001E-2</v>
      </c>
      <c r="AF666" s="40">
        <f>ROUND(((Z666+AA666+AB666)),4)</f>
        <v>9.5799999999999996E-2</v>
      </c>
      <c r="AG666" s="288"/>
      <c r="AH666" s="254"/>
    </row>
    <row r="667" spans="1:34" s="61" customFormat="1" ht="15" customHeight="1" x14ac:dyDescent="0.25">
      <c r="A667" s="260"/>
      <c r="B667" s="287" t="s">
        <v>601</v>
      </c>
      <c r="C667" s="274">
        <v>3</v>
      </c>
      <c r="D667" s="38" t="s">
        <v>579</v>
      </c>
      <c r="E667" s="38">
        <v>1</v>
      </c>
      <c r="F667" s="38">
        <v>2</v>
      </c>
      <c r="G667" s="38">
        <v>6</v>
      </c>
      <c r="H667" s="38">
        <v>60</v>
      </c>
      <c r="I667" s="38">
        <f>(8-1-0.75*2)*60*F667-K667-8*0.12*60</f>
        <v>173.4</v>
      </c>
      <c r="J667" s="38">
        <v>14</v>
      </c>
      <c r="K667" s="38">
        <f>(8-1-0.75*2)*0.65*60*F667</f>
        <v>429</v>
      </c>
      <c r="L667" s="38">
        <v>1.49</v>
      </c>
      <c r="M667" s="38">
        <v>1.49</v>
      </c>
      <c r="N667" s="38">
        <v>10</v>
      </c>
      <c r="O667" s="38">
        <f>E667/F667</f>
        <v>0.5</v>
      </c>
      <c r="P667" s="38">
        <v>0</v>
      </c>
      <c r="Q667" s="38">
        <v>30</v>
      </c>
      <c r="R667" s="275">
        <v>60</v>
      </c>
      <c r="S667" s="275">
        <v>0.28999999999999998</v>
      </c>
      <c r="T667" s="38">
        <f>ROUND((L667*I667+1.3*L667*K667+S667*H667),4)</f>
        <v>1106.739</v>
      </c>
      <c r="U667" s="38">
        <f>ROUND((M667*I667+1.3*M667*K667+S667*H667),4)</f>
        <v>1106.739</v>
      </c>
      <c r="V667" s="38">
        <f>ROUND((M667*I667+1.3*M667*K667+S667*H667),4)</f>
        <v>1106.739</v>
      </c>
      <c r="W667" s="38">
        <f>ROUND((L667*J667+1.3*L667*N667+S667*G667),4)</f>
        <v>41.97</v>
      </c>
      <c r="X667" s="38">
        <f>ROUND((M667*J667+1.3*M667*N667+S667*G667),4)</f>
        <v>41.97</v>
      </c>
      <c r="Y667" s="38">
        <f>ROUND((M667*J667+1.3*M667*N667+S667*G667),4)</f>
        <v>41.97</v>
      </c>
      <c r="Z667" s="276">
        <f>ROUND((P667*T667*F667*O667/1000000),4)</f>
        <v>0</v>
      </c>
      <c r="AA667" s="276">
        <f>ROUND((Q667*U667*F667*O667/1000000),4)</f>
        <v>3.32E-2</v>
      </c>
      <c r="AB667" s="276">
        <f>ROUND((R667*V667*F667*O667/1000000),4)</f>
        <v>6.6400000000000001E-2</v>
      </c>
      <c r="AC667" s="277" t="s">
        <v>165</v>
      </c>
      <c r="AD667" s="278" t="s">
        <v>144</v>
      </c>
      <c r="AE667" s="40">
        <f>ROUND((((X667*E667)/1800)*0.8),4)</f>
        <v>1.8700000000000001E-2</v>
      </c>
      <c r="AF667" s="40">
        <f>ROUND(((Z667+AA667+AB667)*0.8),4)</f>
        <v>7.9699999999999993E-2</v>
      </c>
      <c r="AG667" s="288"/>
      <c r="AH667" s="288"/>
    </row>
    <row r="668" spans="1:34" s="61" customFormat="1" ht="15" customHeight="1" x14ac:dyDescent="0.25">
      <c r="A668" s="260"/>
      <c r="B668" s="280" t="s">
        <v>602</v>
      </c>
      <c r="C668" s="39"/>
      <c r="D668" s="39"/>
      <c r="E668" s="39"/>
      <c r="F668" s="39"/>
      <c r="G668" s="39"/>
      <c r="H668" s="39"/>
      <c r="I668" s="39"/>
      <c r="J668" s="39"/>
      <c r="K668" s="39"/>
      <c r="L668" s="119"/>
      <c r="M668" s="119"/>
      <c r="N668" s="39"/>
      <c r="O668" s="39"/>
      <c r="P668" s="39"/>
      <c r="Q668" s="39"/>
      <c r="R668" s="39"/>
      <c r="S668" s="281"/>
      <c r="T668" s="39"/>
      <c r="U668" s="39"/>
      <c r="V668" s="39"/>
      <c r="W668" s="39"/>
      <c r="X668" s="39"/>
      <c r="Y668" s="39"/>
      <c r="Z668" s="39"/>
      <c r="AA668" s="39"/>
      <c r="AB668" s="39"/>
      <c r="AC668" s="277" t="s">
        <v>166</v>
      </c>
      <c r="AD668" s="278" t="s">
        <v>167</v>
      </c>
      <c r="AE668" s="40">
        <f>ROUND((((X667*E667)/1800)*0.13),4)</f>
        <v>3.0000000000000001E-3</v>
      </c>
      <c r="AF668" s="40">
        <f>ROUND(((Z667+AA667+AB667)*0.13),4)</f>
        <v>1.29E-2</v>
      </c>
      <c r="AG668" s="288"/>
      <c r="AH668" s="288"/>
    </row>
    <row r="669" spans="1:34" s="61" customFormat="1" ht="15" customHeight="1" x14ac:dyDescent="0.25">
      <c r="A669" s="260"/>
      <c r="B669" s="288"/>
      <c r="C669" s="283"/>
      <c r="D669" s="283"/>
      <c r="E669" s="39"/>
      <c r="F669" s="39"/>
      <c r="G669" s="39"/>
      <c r="H669" s="39"/>
      <c r="I669" s="39"/>
      <c r="J669" s="39"/>
      <c r="K669" s="39"/>
      <c r="L669" s="40">
        <v>0.12</v>
      </c>
      <c r="M669" s="40">
        <v>0.15</v>
      </c>
      <c r="N669" s="39"/>
      <c r="O669" s="39"/>
      <c r="P669" s="39"/>
      <c r="Q669" s="39"/>
      <c r="R669" s="39"/>
      <c r="S669" s="284">
        <v>5.8000000000000003E-2</v>
      </c>
      <c r="T669" s="38">
        <f>ROUND((L669*I667+1.3*L669*K667+S669*H667),4)</f>
        <v>91.212000000000003</v>
      </c>
      <c r="U669" s="38">
        <f>ROUND((M669*0.9*I667+1.3*M669*0.9*K667+S669*H667),4)</f>
        <v>102.1785</v>
      </c>
      <c r="V669" s="38">
        <f>ROUND((M669*I667+1.3*M669*K667+S669*H667),4)</f>
        <v>113.145</v>
      </c>
      <c r="W669" s="38">
        <f>ROUND((L669*J667+1.3*L669*N667+S669*G667),4)</f>
        <v>3.5880000000000001</v>
      </c>
      <c r="X669" s="38">
        <f>ROUND((M669*0.9*J667+1.3*M669*0.9*N667+S669*G667),4)</f>
        <v>3.9929999999999999</v>
      </c>
      <c r="Y669" s="38">
        <f>ROUND((M669*J667+1.3*M669*N667+S669*G667),4)</f>
        <v>4.3979999999999997</v>
      </c>
      <c r="Z669" s="276">
        <f>ROUND((P667*T669*F667*O667/1000000),4)</f>
        <v>0</v>
      </c>
      <c r="AA669" s="276">
        <f>ROUND((Q667*U669*F667*O667/1000000),4)</f>
        <v>3.0999999999999999E-3</v>
      </c>
      <c r="AB669" s="276">
        <f>ROUND((R667*V669*F667*O667/1000000),4)</f>
        <v>6.7999999999999996E-3</v>
      </c>
      <c r="AC669" s="277" t="s">
        <v>547</v>
      </c>
      <c r="AD669" s="278" t="s">
        <v>169</v>
      </c>
      <c r="AE669" s="40">
        <f>ROUND((((X669*E667)/1800)),4)</f>
        <v>2.2000000000000001E-3</v>
      </c>
      <c r="AF669" s="40">
        <f>ROUND(((Z669+AA669+AB669)),5)</f>
        <v>9.9000000000000008E-3</v>
      </c>
      <c r="AG669" s="288"/>
      <c r="AH669" s="288"/>
    </row>
    <row r="670" spans="1:34" s="61" customFormat="1" ht="15" customHeight="1" x14ac:dyDescent="0.25">
      <c r="A670" s="260"/>
      <c r="B670" s="288"/>
      <c r="C670" s="39"/>
      <c r="D670" s="39"/>
      <c r="E670" s="39"/>
      <c r="F670" s="39"/>
      <c r="G670" s="39"/>
      <c r="H670" s="39"/>
      <c r="I670" s="39"/>
      <c r="J670" s="39"/>
      <c r="K670" s="39"/>
      <c r="L670" s="40">
        <v>0.26</v>
      </c>
      <c r="M670" s="40">
        <v>0.31</v>
      </c>
      <c r="N670" s="39"/>
      <c r="O670" s="39"/>
      <c r="P670" s="39"/>
      <c r="Q670" s="39"/>
      <c r="R670" s="39"/>
      <c r="S670" s="285">
        <v>0.18</v>
      </c>
      <c r="T670" s="38">
        <f>ROUND((L670*I667+1.3*L670*K667+S670*H667),4)</f>
        <v>200.886</v>
      </c>
      <c r="U670" s="38">
        <f>ROUND((M670*0.9*I667+1.3*M670*0.9*K667+S670*H667),4)</f>
        <v>214.77690000000001</v>
      </c>
      <c r="V670" s="38">
        <f>ROUND((M670*I667+1.3*M670*K667+S670*H667),4)</f>
        <v>237.441</v>
      </c>
      <c r="W670" s="38">
        <f>ROUND((L670*J667+1.3*L670*N667+S670*G667),4)</f>
        <v>8.1</v>
      </c>
      <c r="X670" s="38">
        <f>ROUND((M670*0.9*J667+1.3*M670*0.9*N667+S670*G667),4)</f>
        <v>8.6129999999999995</v>
      </c>
      <c r="Y670" s="38">
        <f>ROUND((M670*J667+1.3*N667+S670*G667),4)</f>
        <v>18.420000000000002</v>
      </c>
      <c r="Z670" s="276">
        <f>ROUND((P667*T670*F667*O667/1000000),4)</f>
        <v>0</v>
      </c>
      <c r="AA670" s="276">
        <f>ROUND((Q667*U670*F667*O667/1000000),4)</f>
        <v>6.4000000000000003E-3</v>
      </c>
      <c r="AB670" s="276">
        <f>ROUND((R667*V670*F667*O667/1000000),4)</f>
        <v>1.4200000000000001E-2</v>
      </c>
      <c r="AC670" s="277" t="s">
        <v>548</v>
      </c>
      <c r="AD670" s="278" t="s">
        <v>549</v>
      </c>
      <c r="AE670" s="40">
        <f>ROUND((((X670*E667)/1800)),4)</f>
        <v>4.7999999999999996E-3</v>
      </c>
      <c r="AF670" s="40">
        <f>ROUND(((Z670+AA670+AB670)),4)</f>
        <v>2.06E-2</v>
      </c>
      <c r="AG670" s="288"/>
      <c r="AH670" s="288"/>
    </row>
    <row r="671" spans="1:34" s="61" customFormat="1" ht="15" customHeight="1" x14ac:dyDescent="0.25">
      <c r="A671" s="260"/>
      <c r="B671" s="280"/>
      <c r="C671" s="39"/>
      <c r="D671" s="39"/>
      <c r="E671" s="39"/>
      <c r="F671" s="39"/>
      <c r="G671" s="39"/>
      <c r="H671" s="39"/>
      <c r="I671" s="39"/>
      <c r="J671" s="39"/>
      <c r="K671" s="39"/>
      <c r="L671" s="40">
        <v>0.17</v>
      </c>
      <c r="M671" s="40">
        <v>0.25</v>
      </c>
      <c r="N671" s="39"/>
      <c r="O671" s="39"/>
      <c r="P671" s="39"/>
      <c r="Q671" s="39"/>
      <c r="R671" s="39"/>
      <c r="S671" s="285">
        <v>0.04</v>
      </c>
      <c r="T671" s="38">
        <f>ROUND((L671*I667+1.3*L671*K667+S671*H667),4)</f>
        <v>126.687</v>
      </c>
      <c r="U671" s="38">
        <f>ROUND((M671*0.9*I667+1.3*M671*0.9*K667+S671*H667),4)</f>
        <v>166.89750000000001</v>
      </c>
      <c r="V671" s="38">
        <f>ROUND((M671*I667+1.3*M671*K667+S671*H667),4)</f>
        <v>185.17500000000001</v>
      </c>
      <c r="W671" s="38">
        <f>ROUND((L671*J667+1.3*L671*N667+S671*G667),4)</f>
        <v>4.83</v>
      </c>
      <c r="X671" s="38">
        <f>ROUND((M671*0.9*J667+1.3*M671*0.9*N667+S671*G667),4)</f>
        <v>6.3150000000000004</v>
      </c>
      <c r="Y671" s="38">
        <f>ROUND((M671*J667+1.3*M671*N667+S671*G667),4)</f>
        <v>6.99</v>
      </c>
      <c r="Z671" s="276">
        <f>ROUND((P667*T671*F667*O667/1000000),4)</f>
        <v>0</v>
      </c>
      <c r="AA671" s="276">
        <f>ROUND((Q667*U671*F667*O667/1000000),4)</f>
        <v>5.0000000000000001E-3</v>
      </c>
      <c r="AB671" s="276">
        <f>ROUND((R667*V671*F667*O667/1000000),4)</f>
        <v>1.11E-2</v>
      </c>
      <c r="AC671" s="277" t="s">
        <v>172</v>
      </c>
      <c r="AD671" s="278" t="s">
        <v>173</v>
      </c>
      <c r="AE671" s="40">
        <f>ROUND((((X671*E667)/1800)),4)</f>
        <v>3.5000000000000001E-3</v>
      </c>
      <c r="AF671" s="40">
        <f>ROUND(((Z671+AA671+AB671)),4)</f>
        <v>1.61E-2</v>
      </c>
      <c r="AG671" s="288"/>
      <c r="AH671" s="288"/>
    </row>
    <row r="672" spans="1:34" s="61" customFormat="1" ht="15" customHeight="1" x14ac:dyDescent="0.25">
      <c r="A672" s="260"/>
      <c r="B672" s="286"/>
      <c r="C672" s="119"/>
      <c r="D672" s="119"/>
      <c r="E672" s="119"/>
      <c r="F672" s="119"/>
      <c r="G672" s="119"/>
      <c r="H672" s="119"/>
      <c r="I672" s="119"/>
      <c r="J672" s="119"/>
      <c r="K672" s="119"/>
      <c r="L672" s="40">
        <v>0.77</v>
      </c>
      <c r="M672" s="40">
        <v>0.94</v>
      </c>
      <c r="N672" s="119"/>
      <c r="O672" s="119"/>
      <c r="P672" s="119"/>
      <c r="Q672" s="119"/>
      <c r="R672" s="119"/>
      <c r="S672" s="285">
        <v>1.44</v>
      </c>
      <c r="T672" s="38">
        <f>ROUND((L672*I667+1.3*L672*K667+S672*H667),4)</f>
        <v>649.34699999999998</v>
      </c>
      <c r="U672" s="38">
        <f>ROUND((M672*0.9*I667+1.3*M672*0.9*K667+S672*H667),4)</f>
        <v>704.91060000000004</v>
      </c>
      <c r="V672" s="38">
        <f>ROUND((M672*I667+1.3*M672*K667+S672*H667),4)</f>
        <v>773.63400000000001</v>
      </c>
      <c r="W672" s="38">
        <f>ROUND((L672*J667+1.3*L672*N667+S672*G667),4)</f>
        <v>29.43</v>
      </c>
      <c r="X672" s="38">
        <f>ROUND((M672*0.9*J667+1.3*M672*0.9*N667+S672*G667),4)</f>
        <v>31.481999999999999</v>
      </c>
      <c r="Y672" s="38">
        <f>ROUND((M672*J667+1.3*M672*N667+S672*G667),4)</f>
        <v>34.020000000000003</v>
      </c>
      <c r="Z672" s="276">
        <f>ROUND((P667*T672*F667*O667/1000000),4)</f>
        <v>0</v>
      </c>
      <c r="AA672" s="276">
        <f>ROUND((Q667*U672*F667*O667/1000000),4)</f>
        <v>2.1100000000000001E-2</v>
      </c>
      <c r="AB672" s="276">
        <f>ROUND((R667*V672*F667*O667/1000000),4)</f>
        <v>4.6399999999999997E-2</v>
      </c>
      <c r="AC672" s="277" t="s">
        <v>157</v>
      </c>
      <c r="AD672" s="278" t="s">
        <v>153</v>
      </c>
      <c r="AE672" s="40">
        <f>ROUND((((X672*E667)/1800)),4)</f>
        <v>1.7500000000000002E-2</v>
      </c>
      <c r="AF672" s="40">
        <f>ROUND(((Z672+AA672+AB672)),4)</f>
        <v>6.7500000000000004E-2</v>
      </c>
      <c r="AG672" s="288"/>
      <c r="AH672" s="288"/>
    </row>
    <row r="673" spans="1:35" s="61" customFormat="1" ht="15" customHeight="1" x14ac:dyDescent="0.25">
      <c r="A673" s="260"/>
      <c r="B673" s="274" t="s">
        <v>603</v>
      </c>
      <c r="C673" s="38">
        <v>4</v>
      </c>
      <c r="D673" s="38" t="s">
        <v>545</v>
      </c>
      <c r="E673" s="38">
        <v>1</v>
      </c>
      <c r="F673" s="38">
        <v>1</v>
      </c>
      <c r="G673" s="38">
        <v>6</v>
      </c>
      <c r="H673" s="38">
        <v>60</v>
      </c>
      <c r="I673" s="38">
        <f>(8-1-0.75*2)*60*F673-K673-8*0.12*60</f>
        <v>57.900000000000006</v>
      </c>
      <c r="J673" s="38">
        <v>14</v>
      </c>
      <c r="K673" s="38">
        <f>(8-1-0.75*2)*0.65*60*F673</f>
        <v>214.5</v>
      </c>
      <c r="L673" s="38">
        <v>2.4700000000000002</v>
      </c>
      <c r="M673" s="38">
        <v>2.4700000000000002</v>
      </c>
      <c r="N673" s="38">
        <v>10</v>
      </c>
      <c r="O673" s="38">
        <f>E673/F673</f>
        <v>1</v>
      </c>
      <c r="P673" s="38">
        <v>0</v>
      </c>
      <c r="Q673" s="38">
        <v>30</v>
      </c>
      <c r="R673" s="275">
        <v>60</v>
      </c>
      <c r="S673" s="38">
        <v>0.48</v>
      </c>
      <c r="T673" s="38">
        <f>ROUND((L673*I673+1.3*L673*K673+S673*H673),4)</f>
        <v>860.57249999999999</v>
      </c>
      <c r="U673" s="38">
        <f>ROUND((M673*I673+1.3*M673*K673+S673*H673),4)</f>
        <v>860.57249999999999</v>
      </c>
      <c r="V673" s="38">
        <f>ROUND((M673*I673+1.3*M673*K673+S673*H673),4)</f>
        <v>860.57249999999999</v>
      </c>
      <c r="W673" s="38">
        <f>ROUND((L673*J673+1.3*L673*N673+S673*G673),4)</f>
        <v>69.569999999999993</v>
      </c>
      <c r="X673" s="38">
        <f>ROUND((M673*J673+1.3*M673*N673+S673*G673),4)</f>
        <v>69.569999999999993</v>
      </c>
      <c r="Y673" s="38">
        <f>ROUND((M673*J673+1.3*M673*N673+S673*G673),4)</f>
        <v>69.569999999999993</v>
      </c>
      <c r="Z673" s="276">
        <f>ROUND((P673*T673*F673*O673/1000000),4)</f>
        <v>0</v>
      </c>
      <c r="AA673" s="276">
        <f>ROUND((Q673*U673*F673*O673/1000000),4)</f>
        <v>2.58E-2</v>
      </c>
      <c r="AB673" s="276">
        <f>ROUND((R673*V673*F673*O673/1000000),4)</f>
        <v>5.16E-2</v>
      </c>
      <c r="AC673" s="277" t="s">
        <v>165</v>
      </c>
      <c r="AD673" s="278" t="s">
        <v>144</v>
      </c>
      <c r="AE673" s="40">
        <f>ROUND((((X673*E673)/1800)*0.8),4)</f>
        <v>3.09E-2</v>
      </c>
      <c r="AF673" s="40">
        <f>ROUND(((Z673+AA673+AB673)*0.8),4)</f>
        <v>6.1899999999999997E-2</v>
      </c>
      <c r="AG673" s="254"/>
      <c r="AH673" s="254"/>
    </row>
    <row r="674" spans="1:35" s="61" customFormat="1" ht="15" customHeight="1" x14ac:dyDescent="0.25">
      <c r="A674" s="260"/>
      <c r="B674" s="280" t="s">
        <v>604</v>
      </c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296"/>
      <c r="T674" s="39"/>
      <c r="U674" s="39"/>
      <c r="V674" s="39"/>
      <c r="W674" s="39"/>
      <c r="X674" s="39"/>
      <c r="Y674" s="39"/>
      <c r="Z674" s="39"/>
      <c r="AA674" s="39"/>
      <c r="AB674" s="39"/>
      <c r="AC674" s="277" t="s">
        <v>166</v>
      </c>
      <c r="AD674" s="278" t="s">
        <v>167</v>
      </c>
      <c r="AE674" s="40">
        <f>ROUND((((X673*E673)/1800)*0.13),4)</f>
        <v>5.0000000000000001E-3</v>
      </c>
      <c r="AF674" s="40">
        <f>ROUND(((Z673+AA673+AB673)*0.13),4)</f>
        <v>1.01E-2</v>
      </c>
      <c r="AG674" s="254"/>
      <c r="AH674" s="254"/>
    </row>
    <row r="675" spans="1:35" s="61" customFormat="1" ht="15" customHeight="1" x14ac:dyDescent="0.25">
      <c r="A675" s="260"/>
      <c r="B675" s="280"/>
      <c r="C675" s="283"/>
      <c r="D675" s="283"/>
      <c r="E675" s="39"/>
      <c r="F675" s="39"/>
      <c r="G675" s="39"/>
      <c r="H675" s="39"/>
      <c r="I675" s="39"/>
      <c r="J675" s="39"/>
      <c r="K675" s="39"/>
      <c r="L675" s="39">
        <v>0.19</v>
      </c>
      <c r="M675" s="39">
        <v>0.23</v>
      </c>
      <c r="N675" s="39"/>
      <c r="O675" s="39"/>
      <c r="P675" s="39"/>
      <c r="Q675" s="39"/>
      <c r="R675" s="39"/>
      <c r="S675" s="42">
        <v>9.7000000000000003E-2</v>
      </c>
      <c r="T675" s="38">
        <f>ROUND((L675*I673+1.3*L675*K673+S675*H673),4)</f>
        <v>69.802499999999995</v>
      </c>
      <c r="U675" s="38">
        <f>ROUND((M675*0.9*I673+1.3*M675*0.9*K673+S675*H673),4)</f>
        <v>75.527299999999997</v>
      </c>
      <c r="V675" s="38">
        <f>ROUND((M675*I673+1.3*M675*K673+S675*H673),4)</f>
        <v>83.272499999999994</v>
      </c>
      <c r="W675" s="38">
        <f>ROUND((L675*J673+1.3*L675*N673+S675*G673),4)</f>
        <v>5.7119999999999997</v>
      </c>
      <c r="X675" s="38">
        <f>ROUND((M675*0.9*J673+1.3*M675*0.9*N673+S675*G673),4)</f>
        <v>6.1710000000000003</v>
      </c>
      <c r="Y675" s="38">
        <f>ROUND((M675*J673+1.3*M675*N673+S675*G673),4)</f>
        <v>6.7919999999999998</v>
      </c>
      <c r="Z675" s="276">
        <f>ROUND((P673*T675*F673*O673/1000000),4)</f>
        <v>0</v>
      </c>
      <c r="AA675" s="276">
        <f>ROUND((Q673*U675*F673*O673/1000000),4)</f>
        <v>2.3E-3</v>
      </c>
      <c r="AB675" s="276">
        <f>ROUND((R673*V675*F673*O673/1000000),4)</f>
        <v>5.0000000000000001E-3</v>
      </c>
      <c r="AC675" s="277" t="s">
        <v>547</v>
      </c>
      <c r="AD675" s="278" t="s">
        <v>169</v>
      </c>
      <c r="AE675" s="40">
        <f>ROUND((((X675*E673)/1800)),4)</f>
        <v>3.3999999999999998E-3</v>
      </c>
      <c r="AF675" s="40">
        <f>ROUND(((Z675+AA675+AB675)),5)</f>
        <v>7.3000000000000001E-3</v>
      </c>
      <c r="AG675" s="254"/>
      <c r="AH675" s="254"/>
    </row>
    <row r="676" spans="1:35" s="61" customFormat="1" ht="15" customHeight="1" x14ac:dyDescent="0.25">
      <c r="A676" s="260"/>
      <c r="B676" s="297"/>
      <c r="C676" s="39"/>
      <c r="D676" s="39"/>
      <c r="E676" s="39"/>
      <c r="F676" s="39"/>
      <c r="G676" s="39"/>
      <c r="H676" s="39"/>
      <c r="I676" s="39"/>
      <c r="J676" s="39"/>
      <c r="K676" s="39"/>
      <c r="L676" s="39">
        <v>0.43</v>
      </c>
      <c r="M676" s="39">
        <v>0.51</v>
      </c>
      <c r="N676" s="39"/>
      <c r="O676" s="39"/>
      <c r="P676" s="39"/>
      <c r="Q676" s="39"/>
      <c r="R676" s="39"/>
      <c r="S676" s="42">
        <v>0.3</v>
      </c>
      <c r="T676" s="38">
        <f>ROUND((L676*I673+1.3*L676*K673+S676*H673),4)</f>
        <v>162.80250000000001</v>
      </c>
      <c r="U676" s="38">
        <f>ROUND((M676*0.9*I673+1.3*M676*0.9*K673+S676*H673),4)</f>
        <v>172.56829999999999</v>
      </c>
      <c r="V676" s="38">
        <f>ROUND((M676*I673+1.3*M676*K673+S676*H673),4)</f>
        <v>189.74250000000001</v>
      </c>
      <c r="W676" s="38">
        <f>ROUND((L676*J673+1.3*L676*N673+S676*G673),4)</f>
        <v>13.41</v>
      </c>
      <c r="X676" s="38">
        <f>ROUND((M676*0.9*J673+1.3*M676*0.9*N673+S676*G673),4)</f>
        <v>14.193</v>
      </c>
      <c r="Y676" s="38">
        <f>ROUND((M676*J673+1.3*N673+S676*G673),4)</f>
        <v>21.94</v>
      </c>
      <c r="Z676" s="276">
        <f>ROUND((P673*T676*F673*O673/1000000),4)</f>
        <v>0</v>
      </c>
      <c r="AA676" s="276">
        <f>ROUND((Q673*U676*F673*O673/1000000),4)</f>
        <v>5.1999999999999998E-3</v>
      </c>
      <c r="AB676" s="276">
        <f>ROUND((R673*V676*F673*O673/1000000),4)</f>
        <v>1.14E-2</v>
      </c>
      <c r="AC676" s="277" t="s">
        <v>548</v>
      </c>
      <c r="AD676" s="278" t="s">
        <v>549</v>
      </c>
      <c r="AE676" s="40">
        <f>ROUND((((X676*E673)/1800)),4)</f>
        <v>7.9000000000000008E-3</v>
      </c>
      <c r="AF676" s="40">
        <f>ROUND(((Z676+AA676+AB676)),4)</f>
        <v>1.66E-2</v>
      </c>
      <c r="AG676" s="254"/>
      <c r="AH676" s="254"/>
    </row>
    <row r="677" spans="1:35" s="61" customFormat="1" ht="15" customHeight="1" x14ac:dyDescent="0.25">
      <c r="A677" s="260"/>
      <c r="B677" s="280"/>
      <c r="C677" s="39"/>
      <c r="D677" s="39"/>
      <c r="E677" s="39"/>
      <c r="F677" s="39"/>
      <c r="G677" s="39"/>
      <c r="H677" s="39"/>
      <c r="I677" s="39"/>
      <c r="J677" s="39"/>
      <c r="K677" s="39"/>
      <c r="L677" s="39">
        <v>0.27</v>
      </c>
      <c r="M677" s="39">
        <v>0.41</v>
      </c>
      <c r="N677" s="39"/>
      <c r="O677" s="39"/>
      <c r="P677" s="39"/>
      <c r="Q677" s="39"/>
      <c r="R677" s="39"/>
      <c r="S677" s="42">
        <v>0.06</v>
      </c>
      <c r="T677" s="38">
        <f>ROUND((L677*I673+1.3*L677*K673+S677*H673),4)</f>
        <v>94.522499999999994</v>
      </c>
      <c r="U677" s="38">
        <f>ROUND((M677*0.9*I673+1.3*M677*0.9*K673+S677*H673),4)</f>
        <v>127.8608</v>
      </c>
      <c r="V677" s="38">
        <f>ROUND((M677*I673+1.3*M677*K673+S677*H673),4)</f>
        <v>141.66749999999999</v>
      </c>
      <c r="W677" s="38">
        <f>ROUND((L677*J673+1.3*L677*N673+S677*G673),4)</f>
        <v>7.65</v>
      </c>
      <c r="X677" s="38">
        <f>ROUND((M677*0.9*J673+1.3*M677*0.9*N673+S677*G673),4)</f>
        <v>10.323</v>
      </c>
      <c r="Y677" s="38">
        <f>ROUND((M677*J673+1.3*M677*N673+S677*G673),4)</f>
        <v>11.43</v>
      </c>
      <c r="Z677" s="276">
        <f>ROUND((P673*T677*F673*O673/1000000),4)</f>
        <v>0</v>
      </c>
      <c r="AA677" s="276">
        <f>ROUND((Q673*U677*F673*O673/1000000),4)</f>
        <v>3.8E-3</v>
      </c>
      <c r="AB677" s="276">
        <f>ROUND((R673*V677*F673*O673/1000000),4)</f>
        <v>8.5000000000000006E-3</v>
      </c>
      <c r="AC677" s="277" t="s">
        <v>172</v>
      </c>
      <c r="AD677" s="278" t="s">
        <v>173</v>
      </c>
      <c r="AE677" s="40">
        <f>ROUND((((X677*E673)/1800)),4)</f>
        <v>5.7000000000000002E-3</v>
      </c>
      <c r="AF677" s="40">
        <f>ROUND(((Z677+AA677+AB677)),4)</f>
        <v>1.23E-2</v>
      </c>
      <c r="AG677" s="254"/>
      <c r="AH677" s="254"/>
    </row>
    <row r="678" spans="1:35" s="61" customFormat="1" ht="15" customHeight="1" x14ac:dyDescent="0.25">
      <c r="A678" s="260"/>
      <c r="B678" s="119"/>
      <c r="C678" s="119"/>
      <c r="D678" s="119"/>
      <c r="E678" s="119"/>
      <c r="F678" s="119"/>
      <c r="G678" s="119"/>
      <c r="H678" s="119"/>
      <c r="I678" s="119"/>
      <c r="J678" s="119"/>
      <c r="K678" s="119"/>
      <c r="L678" s="119">
        <v>1.29</v>
      </c>
      <c r="M678" s="119">
        <v>1.57</v>
      </c>
      <c r="N678" s="119"/>
      <c r="O678" s="119"/>
      <c r="P678" s="119"/>
      <c r="Q678" s="119"/>
      <c r="R678" s="119"/>
      <c r="S678" s="42">
        <v>2.4</v>
      </c>
      <c r="T678" s="42">
        <f>ROUND((L678*I673+1.3*L678*K673+S678*H673),4)</f>
        <v>578.40750000000003</v>
      </c>
      <c r="U678" s="42">
        <f>ROUND((M678*0.9*I673+1.3*M678*0.9*K673+S678*H673),4)</f>
        <v>619.82780000000002</v>
      </c>
      <c r="V678" s="42">
        <f>ROUND((M678*I673+1.3*M678*K673+S678*H673),4)</f>
        <v>672.69749999999999</v>
      </c>
      <c r="W678" s="42">
        <f>ROUND((L678*J673+1.3*L678*N673+S678*G673),4)</f>
        <v>49.23</v>
      </c>
      <c r="X678" s="42">
        <f>ROUND((M678*0.9*J673+1.3*M678*0.9*N673+S678*G673),4)</f>
        <v>52.551000000000002</v>
      </c>
      <c r="Y678" s="42">
        <f>ROUND((M678*J673+1.3*M678*N673+S678*G673),4)</f>
        <v>56.79</v>
      </c>
      <c r="Z678" s="298">
        <f>ROUND((P673*T678*F673*O673/1000000),4)</f>
        <v>0</v>
      </c>
      <c r="AA678" s="298">
        <f>ROUND((Q673*U678*F673*O673/1000000),4)</f>
        <v>1.8599999999999998E-2</v>
      </c>
      <c r="AB678" s="298">
        <f>ROUND((R673*V678*F673*O673/1000000),4)</f>
        <v>4.0399999999999998E-2</v>
      </c>
      <c r="AC678" s="277" t="s">
        <v>157</v>
      </c>
      <c r="AD678" s="278" t="s">
        <v>153</v>
      </c>
      <c r="AE678" s="40">
        <f>ROUND((((X678*E673)/1800)),4)</f>
        <v>2.92E-2</v>
      </c>
      <c r="AF678" s="40">
        <f>ROUND(((Z678+AA678+AB678)),4)</f>
        <v>5.8999999999999997E-2</v>
      </c>
      <c r="AG678" s="254"/>
      <c r="AH678" s="254"/>
    </row>
    <row r="679" spans="1:35" s="61" customFormat="1" ht="15" customHeight="1" x14ac:dyDescent="0.25">
      <c r="A679" s="260"/>
      <c r="B679" s="1638" t="s">
        <v>1016</v>
      </c>
      <c r="C679" s="274">
        <v>3</v>
      </c>
      <c r="D679" s="38" t="s">
        <v>579</v>
      </c>
      <c r="E679" s="38">
        <v>1</v>
      </c>
      <c r="F679" s="38">
        <v>3</v>
      </c>
      <c r="G679" s="38">
        <v>6</v>
      </c>
      <c r="H679" s="38">
        <v>60</v>
      </c>
      <c r="I679" s="38">
        <f>(8-1-0.75*2)*60*F679-K679-8*0.12*60</f>
        <v>288.89999999999998</v>
      </c>
      <c r="J679" s="38">
        <v>14</v>
      </c>
      <c r="K679" s="38">
        <f>(8-1-0.75*2)*0.65*60*F679</f>
        <v>643.5</v>
      </c>
      <c r="L679" s="38">
        <v>1.49</v>
      </c>
      <c r="M679" s="38">
        <v>1.49</v>
      </c>
      <c r="N679" s="38">
        <v>10</v>
      </c>
      <c r="O679" s="38">
        <f>E679/F679</f>
        <v>0.33333333333333331</v>
      </c>
      <c r="P679" s="38">
        <v>0</v>
      </c>
      <c r="Q679" s="38">
        <v>30</v>
      </c>
      <c r="R679" s="275">
        <v>60</v>
      </c>
      <c r="S679" s="275">
        <v>0.28999999999999998</v>
      </c>
      <c r="T679" s="38">
        <f>ROUND((L679*I679+1.3*L679*K679+S679*H679),4)</f>
        <v>1694.3205</v>
      </c>
      <c r="U679" s="38">
        <f>ROUND((M679*I679+1.3*M679*K679+S679*H679),4)</f>
        <v>1694.3205</v>
      </c>
      <c r="V679" s="38">
        <f>ROUND((M679*I679+1.3*M679*K679+S679*H679),4)</f>
        <v>1694.3205</v>
      </c>
      <c r="W679" s="38">
        <f>ROUND((L679*J679+1.3*L679*N679+S679*G679),4)</f>
        <v>41.97</v>
      </c>
      <c r="X679" s="38">
        <f>ROUND((M679*J679+1.3*M679*N679+S679*G679),4)</f>
        <v>41.97</v>
      </c>
      <c r="Y679" s="38">
        <f>ROUND((M679*J679+1.3*M679*N679+S679*G679),4)</f>
        <v>41.97</v>
      </c>
      <c r="Z679" s="276">
        <f>ROUND((P679*T679*F679*O679/1000000),4)</f>
        <v>0</v>
      </c>
      <c r="AA679" s="276">
        <f>ROUND((Q679*U679*F679*O679/1000000),4)</f>
        <v>5.0799999999999998E-2</v>
      </c>
      <c r="AB679" s="276">
        <f>ROUND((R679*V679*F679*O679/1000000),4)</f>
        <v>0.1017</v>
      </c>
      <c r="AC679" s="277" t="s">
        <v>165</v>
      </c>
      <c r="AD679" s="278" t="s">
        <v>144</v>
      </c>
      <c r="AE679" s="40">
        <f>ROUND((((X679*E679)/1800)*0.8),4)</f>
        <v>1.8700000000000001E-2</v>
      </c>
      <c r="AF679" s="40">
        <f>ROUND(((Z679+AA679+AB679)*0.8),4)</f>
        <v>0.122</v>
      </c>
      <c r="AG679" s="288"/>
      <c r="AH679" s="288"/>
      <c r="AI679" s="288"/>
    </row>
    <row r="680" spans="1:35" s="61" customFormat="1" ht="15" customHeight="1" x14ac:dyDescent="0.25">
      <c r="A680" s="260"/>
      <c r="B680" s="1639"/>
      <c r="C680" s="39"/>
      <c r="D680" s="39"/>
      <c r="E680" s="39"/>
      <c r="F680" s="39"/>
      <c r="G680" s="39"/>
      <c r="H680" s="39"/>
      <c r="I680" s="39"/>
      <c r="J680" s="39"/>
      <c r="K680" s="39"/>
      <c r="L680" s="119"/>
      <c r="M680" s="119"/>
      <c r="N680" s="39"/>
      <c r="O680" s="39"/>
      <c r="P680" s="39"/>
      <c r="Q680" s="39"/>
      <c r="R680" s="39"/>
      <c r="S680" s="281"/>
      <c r="T680" s="39"/>
      <c r="U680" s="39"/>
      <c r="V680" s="39"/>
      <c r="W680" s="39"/>
      <c r="X680" s="39"/>
      <c r="Y680" s="39"/>
      <c r="Z680" s="39"/>
      <c r="AA680" s="39"/>
      <c r="AB680" s="39"/>
      <c r="AC680" s="277" t="s">
        <v>166</v>
      </c>
      <c r="AD680" s="278" t="s">
        <v>167</v>
      </c>
      <c r="AE680" s="40">
        <f>ROUND((((X679*E679)/1800)*0.13),4)</f>
        <v>3.0000000000000001E-3</v>
      </c>
      <c r="AF680" s="40">
        <f>ROUND(((Z679+AA679+AB679)*0.13),4)</f>
        <v>1.9800000000000002E-2</v>
      </c>
      <c r="AG680" s="288"/>
      <c r="AH680" s="288"/>
      <c r="AI680" s="288"/>
    </row>
    <row r="681" spans="1:35" s="61" customFormat="1" ht="15" customHeight="1" x14ac:dyDescent="0.25">
      <c r="A681" s="260"/>
      <c r="B681" s="1634" t="s">
        <v>585</v>
      </c>
      <c r="C681" s="283"/>
      <c r="D681" s="283"/>
      <c r="E681" s="39"/>
      <c r="F681" s="39"/>
      <c r="G681" s="39"/>
      <c r="H681" s="39"/>
      <c r="I681" s="39"/>
      <c r="J681" s="39"/>
      <c r="K681" s="39"/>
      <c r="L681" s="40">
        <v>0.12</v>
      </c>
      <c r="M681" s="40">
        <v>0.15</v>
      </c>
      <c r="N681" s="39"/>
      <c r="O681" s="39"/>
      <c r="P681" s="39"/>
      <c r="Q681" s="39"/>
      <c r="R681" s="39"/>
      <c r="S681" s="284">
        <v>5.8000000000000003E-2</v>
      </c>
      <c r="T681" s="38">
        <f>ROUND((L681*I679+1.3*L681*K679+S681*H679),4)</f>
        <v>138.53399999999999</v>
      </c>
      <c r="U681" s="38">
        <f>ROUND((M681*0.9*I679+1.3*M681*0.9*K679+S681*H679),4)</f>
        <v>155.41579999999999</v>
      </c>
      <c r="V681" s="38">
        <f>ROUND((M681*I679+1.3*M681*K679+S681*H679),4)</f>
        <v>172.29750000000001</v>
      </c>
      <c r="W681" s="38">
        <f>ROUND((L681*J679+1.3*L681*N679+S681*G679),4)</f>
        <v>3.5880000000000001</v>
      </c>
      <c r="X681" s="38">
        <f>ROUND((M681*0.9*J679+1.3*M681*0.9*N679+S681*G679),4)</f>
        <v>3.9929999999999999</v>
      </c>
      <c r="Y681" s="38">
        <f>ROUND((M681*J679+1.3*M681*N679+S681*G679),4)</f>
        <v>4.3979999999999997</v>
      </c>
      <c r="Z681" s="276">
        <f>ROUND((P679*T681*F679*O679/1000000),4)</f>
        <v>0</v>
      </c>
      <c r="AA681" s="276">
        <f>ROUND((Q679*U681*F679*O679/1000000),4)</f>
        <v>4.7000000000000002E-3</v>
      </c>
      <c r="AB681" s="276">
        <f>ROUND((R679*V681*F679*O679/1000000),4)</f>
        <v>1.03E-2</v>
      </c>
      <c r="AC681" s="277" t="s">
        <v>547</v>
      </c>
      <c r="AD681" s="278" t="s">
        <v>169</v>
      </c>
      <c r="AE681" s="40">
        <f>ROUND((((X681*E679)/1800)),4)</f>
        <v>2.2000000000000001E-3</v>
      </c>
      <c r="AF681" s="40">
        <f>ROUND(((Z681+AA681+AB681)),5)</f>
        <v>1.4999999999999999E-2</v>
      </c>
      <c r="AG681" s="288"/>
      <c r="AH681" s="288"/>
      <c r="AI681" s="288"/>
    </row>
    <row r="682" spans="1:35" s="61" customFormat="1" ht="15" customHeight="1" x14ac:dyDescent="0.25">
      <c r="A682" s="260"/>
      <c r="B682" s="1634"/>
      <c r="C682" s="39"/>
      <c r="D682" s="39"/>
      <c r="E682" s="39"/>
      <c r="F682" s="39"/>
      <c r="G682" s="39"/>
      <c r="H682" s="39"/>
      <c r="I682" s="39"/>
      <c r="J682" s="39"/>
      <c r="K682" s="39"/>
      <c r="L682" s="40">
        <v>0.26</v>
      </c>
      <c r="M682" s="40">
        <v>0.31</v>
      </c>
      <c r="N682" s="39"/>
      <c r="O682" s="39"/>
      <c r="P682" s="39"/>
      <c r="Q682" s="39"/>
      <c r="R682" s="39"/>
      <c r="S682" s="285">
        <v>0.18</v>
      </c>
      <c r="T682" s="38">
        <f>ROUND((L682*I679+1.3*L682*K679+S682*H679),4)</f>
        <v>303.41699999999997</v>
      </c>
      <c r="U682" s="38">
        <f>ROUND((M682*0.9*I679+1.3*M682*0.9*K679+S682*H679),4)</f>
        <v>324.80059999999997</v>
      </c>
      <c r="V682" s="38">
        <f>ROUND((M682*I679+1.3*M682*K679+S682*H679),4)</f>
        <v>359.68950000000001</v>
      </c>
      <c r="W682" s="38">
        <f>ROUND((L682*J679+1.3*L682*N679+S682*G679),4)</f>
        <v>8.1</v>
      </c>
      <c r="X682" s="38">
        <f>ROUND((M682*0.9*J679+1.3*M682*0.9*N679+S682*G679),4)</f>
        <v>8.6129999999999995</v>
      </c>
      <c r="Y682" s="38">
        <f>ROUND((M682*J679+1.3*N679+S682*G679),4)</f>
        <v>18.420000000000002</v>
      </c>
      <c r="Z682" s="276">
        <f>ROUND((P679*T682*F679*O679/1000000),4)</f>
        <v>0</v>
      </c>
      <c r="AA682" s="276">
        <f>ROUND((Q679*U682*F679*O679/1000000),4)</f>
        <v>9.7000000000000003E-3</v>
      </c>
      <c r="AB682" s="276">
        <f>ROUND((R679*V682*F679*O679/1000000),4)</f>
        <v>2.1600000000000001E-2</v>
      </c>
      <c r="AC682" s="277" t="s">
        <v>548</v>
      </c>
      <c r="AD682" s="278" t="s">
        <v>549</v>
      </c>
      <c r="AE682" s="40">
        <f>ROUND((((X682*E679)/1800)),4)</f>
        <v>4.7999999999999996E-3</v>
      </c>
      <c r="AF682" s="40">
        <f>ROUND(((Z682+AA682+AB682)),4)</f>
        <v>3.1300000000000001E-2</v>
      </c>
      <c r="AG682" s="288"/>
      <c r="AH682" s="288"/>
      <c r="AI682" s="288"/>
    </row>
    <row r="683" spans="1:35" s="61" customFormat="1" ht="15" customHeight="1" x14ac:dyDescent="0.25">
      <c r="A683" s="260"/>
      <c r="B683" s="280"/>
      <c r="C683" s="39"/>
      <c r="D683" s="39"/>
      <c r="E683" s="39"/>
      <c r="F683" s="39"/>
      <c r="G683" s="39"/>
      <c r="H683" s="39"/>
      <c r="I683" s="39"/>
      <c r="J683" s="39"/>
      <c r="K683" s="39"/>
      <c r="L683" s="40">
        <v>0.17</v>
      </c>
      <c r="M683" s="40">
        <v>0.25</v>
      </c>
      <c r="N683" s="39"/>
      <c r="O683" s="39"/>
      <c r="P683" s="39"/>
      <c r="Q683" s="39"/>
      <c r="R683" s="39"/>
      <c r="S683" s="285">
        <v>0.04</v>
      </c>
      <c r="T683" s="38">
        <f>ROUND((L683*I679+1.3*L683*K679+S683*H679),4)</f>
        <v>193.72649999999999</v>
      </c>
      <c r="U683" s="38">
        <f>ROUND((M683*0.9*I679+1.3*M683*0.9*K679+S683*H679),4)</f>
        <v>255.62629999999999</v>
      </c>
      <c r="V683" s="38">
        <f>ROUND((M683*I679+1.3*M683*K679+S683*H679),4)</f>
        <v>283.76249999999999</v>
      </c>
      <c r="W683" s="38">
        <f>ROUND((L683*J679+1.3*L683*N679+S683*G679),4)</f>
        <v>4.83</v>
      </c>
      <c r="X683" s="38">
        <f>ROUND((M683*0.9*J679+1.3*M683*0.9*N679+S683*G679),4)</f>
        <v>6.3150000000000004</v>
      </c>
      <c r="Y683" s="38">
        <f>ROUND((M683*J679+1.3*M683*N679+S683*G679),4)</f>
        <v>6.99</v>
      </c>
      <c r="Z683" s="276">
        <f>ROUND((P679*T683*F679*O679/1000000),4)</f>
        <v>0</v>
      </c>
      <c r="AA683" s="276">
        <f>ROUND((Q679*U683*F679*O679/1000000),4)</f>
        <v>7.7000000000000002E-3</v>
      </c>
      <c r="AB683" s="276">
        <f>ROUND((R679*V683*F679*O679/1000000),4)</f>
        <v>1.7000000000000001E-2</v>
      </c>
      <c r="AC683" s="277" t="s">
        <v>172</v>
      </c>
      <c r="AD683" s="278" t="s">
        <v>173</v>
      </c>
      <c r="AE683" s="40">
        <f>ROUND((((X683*E679)/1800)),4)</f>
        <v>3.5000000000000001E-3</v>
      </c>
      <c r="AF683" s="40">
        <f>ROUND(((Z683+AA683+AB683)),4)</f>
        <v>2.47E-2</v>
      </c>
      <c r="AG683" s="288"/>
      <c r="AH683" s="288"/>
      <c r="AI683" s="288"/>
    </row>
    <row r="684" spans="1:35" s="61" customFormat="1" ht="15" customHeight="1" x14ac:dyDescent="0.25">
      <c r="A684" s="260"/>
      <c r="B684" s="286"/>
      <c r="C684" s="119"/>
      <c r="D684" s="119"/>
      <c r="E684" s="119"/>
      <c r="F684" s="119"/>
      <c r="G684" s="119"/>
      <c r="H684" s="119"/>
      <c r="I684" s="119"/>
      <c r="J684" s="119"/>
      <c r="K684" s="119"/>
      <c r="L684" s="40">
        <v>0.77</v>
      </c>
      <c r="M684" s="40">
        <v>0.94</v>
      </c>
      <c r="N684" s="119"/>
      <c r="O684" s="119"/>
      <c r="P684" s="119"/>
      <c r="Q684" s="119"/>
      <c r="R684" s="119"/>
      <c r="S684" s="285">
        <v>1.44</v>
      </c>
      <c r="T684" s="38">
        <f>ROUND((L684*I679+1.3*L684*K679+S684*H679),4)</f>
        <v>952.99649999999997</v>
      </c>
      <c r="U684" s="38">
        <f>ROUND((M684*0.9*I679+1.3*M684*0.9*K679+S684*H679),4)</f>
        <v>1038.5307</v>
      </c>
      <c r="V684" s="38">
        <f>ROUND((M684*I679+1.3*M684*K679+S684*H679),4)</f>
        <v>1144.3230000000001</v>
      </c>
      <c r="W684" s="38">
        <f>ROUND((L684*J679+1.3*L684*N679+S684*G679),4)</f>
        <v>29.43</v>
      </c>
      <c r="X684" s="38">
        <f>ROUND((M684*0.9*J679+1.3*M684*0.9*N679+S684*G679),4)</f>
        <v>31.481999999999999</v>
      </c>
      <c r="Y684" s="38">
        <f>ROUND((M684*J679+1.3*M684*N679+S684*G679),4)</f>
        <v>34.020000000000003</v>
      </c>
      <c r="Z684" s="276">
        <f>ROUND((P679*T684*F679*O679/1000000),4)</f>
        <v>0</v>
      </c>
      <c r="AA684" s="276">
        <f>ROUND((Q679*U684*F679*O679/1000000),4)</f>
        <v>3.1199999999999999E-2</v>
      </c>
      <c r="AB684" s="276">
        <f>ROUND((R679*V684*F679*O679/1000000),4)</f>
        <v>6.8699999999999997E-2</v>
      </c>
      <c r="AC684" s="277" t="s">
        <v>157</v>
      </c>
      <c r="AD684" s="278" t="s">
        <v>153</v>
      </c>
      <c r="AE684" s="40">
        <f>ROUND((((X684*E679)/1800)),4)</f>
        <v>1.7500000000000002E-2</v>
      </c>
      <c r="AF684" s="40">
        <f>ROUND(((Z684+AA684+AB684)),4)</f>
        <v>9.9900000000000003E-2</v>
      </c>
      <c r="AG684" s="288"/>
      <c r="AH684" s="288"/>
      <c r="AI684" s="288"/>
    </row>
    <row r="685" spans="1:35" s="61" customFormat="1" ht="15" customHeight="1" x14ac:dyDescent="0.25">
      <c r="A685" s="289"/>
      <c r="B685" s="274" t="s">
        <v>568</v>
      </c>
      <c r="C685" s="274">
        <v>6</v>
      </c>
      <c r="D685" s="38" t="s">
        <v>556</v>
      </c>
      <c r="E685" s="38">
        <v>1</v>
      </c>
      <c r="F685" s="38">
        <v>5</v>
      </c>
      <c r="G685" s="38">
        <v>6</v>
      </c>
      <c r="H685" s="38">
        <v>60</v>
      </c>
      <c r="I685" s="38">
        <f>(8-1-0.75*2)*60*F685-K685-8*0.12*60</f>
        <v>519.9</v>
      </c>
      <c r="J685" s="38">
        <v>14</v>
      </c>
      <c r="K685" s="38">
        <f>(8-1-0.75*2)*0.65*60*F685</f>
        <v>1072.5</v>
      </c>
      <c r="L685" s="38">
        <v>6.47</v>
      </c>
      <c r="M685" s="38">
        <v>6.47</v>
      </c>
      <c r="N685" s="38">
        <v>10</v>
      </c>
      <c r="O685" s="38">
        <f>E685/F685</f>
        <v>0.2</v>
      </c>
      <c r="P685" s="38">
        <v>0</v>
      </c>
      <c r="Q685" s="38">
        <v>30</v>
      </c>
      <c r="R685" s="275">
        <v>60</v>
      </c>
      <c r="S685" s="275">
        <v>1.27</v>
      </c>
      <c r="T685" s="38">
        <f>ROUND((L685*I685+1.3*L685*K685+S685*H685),4)</f>
        <v>12460.7505</v>
      </c>
      <c r="U685" s="38">
        <f>ROUND((M685*I685+1.3*M685*K685+S685*H685),4)</f>
        <v>12460.7505</v>
      </c>
      <c r="V685" s="38">
        <f>ROUND((M685*I685+1.3*M685*K685+S685*H685),4)</f>
        <v>12460.7505</v>
      </c>
      <c r="W685" s="38">
        <f>ROUND((L685*J685+1.3*L685*N685+S685*G685),4)</f>
        <v>182.31</v>
      </c>
      <c r="X685" s="38">
        <f>ROUND((M685*J685+1.3*M685*N685+S685*G685),4)</f>
        <v>182.31</v>
      </c>
      <c r="Y685" s="38">
        <f>ROUND((M685*J685+1.3*M685*N685+S685*G685),4)</f>
        <v>182.31</v>
      </c>
      <c r="Z685" s="276">
        <f>ROUND((P685*T685*F685*O685/1000000),4)</f>
        <v>0</v>
      </c>
      <c r="AA685" s="276">
        <f>ROUND((Q685*U685*F685*O685/1000000),4)</f>
        <v>0.37380000000000002</v>
      </c>
      <c r="AB685" s="276">
        <f>ROUND((R685*V685*F685*O685/1000000),4)</f>
        <v>0.74760000000000004</v>
      </c>
      <c r="AC685" s="277" t="s">
        <v>165</v>
      </c>
      <c r="AD685" s="278" t="s">
        <v>144</v>
      </c>
      <c r="AE685" s="40">
        <f>ROUND((((X685*E685)/1800)*0.8),4)</f>
        <v>8.1000000000000003E-2</v>
      </c>
      <c r="AF685" s="40">
        <f>ROUND(((Z685+AA685+AB685)*0.8),4)</f>
        <v>0.89710000000000001</v>
      </c>
      <c r="AG685" s="254"/>
      <c r="AH685" s="254"/>
    </row>
    <row r="686" spans="1:35" s="61" customFormat="1" ht="15" customHeight="1" x14ac:dyDescent="0.25">
      <c r="A686" s="289"/>
      <c r="B686" s="280" t="s">
        <v>569</v>
      </c>
      <c r="C686" s="39"/>
      <c r="D686" s="39"/>
      <c r="E686" s="39"/>
      <c r="F686" s="39"/>
      <c r="G686" s="39"/>
      <c r="H686" s="39"/>
      <c r="I686" s="39"/>
      <c r="J686" s="39"/>
      <c r="K686" s="39"/>
      <c r="L686" s="119"/>
      <c r="M686" s="119"/>
      <c r="N686" s="39"/>
      <c r="O686" s="39"/>
      <c r="P686" s="39"/>
      <c r="Q686" s="39"/>
      <c r="R686" s="39"/>
      <c r="S686" s="281"/>
      <c r="T686" s="39"/>
      <c r="U686" s="39"/>
      <c r="V686" s="39"/>
      <c r="W686" s="39"/>
      <c r="X686" s="39"/>
      <c r="Y686" s="39"/>
      <c r="Z686" s="39"/>
      <c r="AA686" s="39"/>
      <c r="AB686" s="39"/>
      <c r="AC686" s="277" t="s">
        <v>166</v>
      </c>
      <c r="AD686" s="278" t="s">
        <v>167</v>
      </c>
      <c r="AE686" s="40">
        <f>ROUND((((X685*E685)/1800)*0.13),4)</f>
        <v>1.32E-2</v>
      </c>
      <c r="AF686" s="40">
        <f>ROUND(((Z685+AA685+AB685)*0.13),4)</f>
        <v>0.14580000000000001</v>
      </c>
      <c r="AG686" s="254"/>
      <c r="AH686" s="254"/>
    </row>
    <row r="687" spans="1:35" s="61" customFormat="1" ht="15" customHeight="1" x14ac:dyDescent="0.25">
      <c r="A687" s="289"/>
      <c r="B687" s="287"/>
      <c r="C687" s="283"/>
      <c r="D687" s="283"/>
      <c r="E687" s="39"/>
      <c r="F687" s="39"/>
      <c r="G687" s="39"/>
      <c r="H687" s="39"/>
      <c r="I687" s="39"/>
      <c r="J687" s="39"/>
      <c r="K687" s="39"/>
      <c r="L687" s="40">
        <v>0.51</v>
      </c>
      <c r="M687" s="40">
        <v>0.63</v>
      </c>
      <c r="N687" s="39"/>
      <c r="O687" s="39"/>
      <c r="P687" s="39"/>
      <c r="Q687" s="39"/>
      <c r="R687" s="39"/>
      <c r="S687" s="284">
        <v>0.25</v>
      </c>
      <c r="T687" s="38">
        <f>ROUND((L687*I685+1.3*L687*K685+S687*H685),4)</f>
        <v>991.2165</v>
      </c>
      <c r="U687" s="38">
        <f>ROUND((M687*0.9*I685+1.3*M687*0.9*K685+S687*H685),4)</f>
        <v>1100.3231000000001</v>
      </c>
      <c r="V687" s="38">
        <f>ROUND((M687*I685+1.3*M687*K685+S687*H685),4)</f>
        <v>1220.9145000000001</v>
      </c>
      <c r="W687" s="38">
        <f>ROUND((L687*J685+1.3*L687*N685+S687*G685),4)</f>
        <v>15.27</v>
      </c>
      <c r="X687" s="38">
        <f>ROUND((M687*0.9*J685+1.3*M687*0.9*N685+S687*G685),4)</f>
        <v>16.809000000000001</v>
      </c>
      <c r="Y687" s="38">
        <f>ROUND((M687*J685+1.3*M687*N685+S687*G685),4)</f>
        <v>18.510000000000002</v>
      </c>
      <c r="Z687" s="276">
        <f>ROUND((P685*T687*F685*O685/1000000),4)</f>
        <v>0</v>
      </c>
      <c r="AA687" s="276">
        <f>ROUND((Q685*U687*F685*O685/1000000),4)</f>
        <v>3.3000000000000002E-2</v>
      </c>
      <c r="AB687" s="276">
        <f>ROUND((R685*V687*F685*O685/1000000),4)</f>
        <v>7.3300000000000004E-2</v>
      </c>
      <c r="AC687" s="277" t="s">
        <v>547</v>
      </c>
      <c r="AD687" s="278" t="s">
        <v>169</v>
      </c>
      <c r="AE687" s="40">
        <f>ROUND((((X687*E685)/1800)),4)</f>
        <v>9.2999999999999992E-3</v>
      </c>
      <c r="AF687" s="40">
        <f>ROUND(((Z687+AA687+AB687)),5)</f>
        <v>0.10630000000000001</v>
      </c>
      <c r="AG687" s="254"/>
      <c r="AH687" s="254"/>
    </row>
    <row r="688" spans="1:35" s="61" customFormat="1" ht="15" customHeight="1" x14ac:dyDescent="0.25">
      <c r="A688" s="289"/>
      <c r="B688" s="280"/>
      <c r="C688" s="39"/>
      <c r="D688" s="39"/>
      <c r="E688" s="39"/>
      <c r="F688" s="39"/>
      <c r="G688" s="39"/>
      <c r="H688" s="39"/>
      <c r="I688" s="39"/>
      <c r="J688" s="39"/>
      <c r="K688" s="39"/>
      <c r="L688" s="40">
        <v>1.1399999999999999</v>
      </c>
      <c r="M688" s="40">
        <v>1.37</v>
      </c>
      <c r="N688" s="39"/>
      <c r="O688" s="39"/>
      <c r="P688" s="39"/>
      <c r="Q688" s="39"/>
      <c r="R688" s="39"/>
      <c r="S688" s="285">
        <v>0.79</v>
      </c>
      <c r="T688" s="38">
        <f>ROUND((L688*I685+1.3*L688*K685+S688*H685),4)</f>
        <v>2229.5309999999999</v>
      </c>
      <c r="U688" s="38">
        <f>ROUND((M688*0.9*I685+1.3*M688*0.9*K685+S688*H685),4)</f>
        <v>2407.547</v>
      </c>
      <c r="V688" s="38">
        <f>ROUND((M688*I685+1.3*M688*K685+S688*H685),4)</f>
        <v>2669.7855</v>
      </c>
      <c r="W688" s="38">
        <f>ROUND((L688*J685+1.3*L688*N685+S688*G685),4)</f>
        <v>35.520000000000003</v>
      </c>
      <c r="X688" s="38">
        <f>ROUND((M688*0.9*J685+1.3*M688*0.9*N685+S688*G685),4)</f>
        <v>38.030999999999999</v>
      </c>
      <c r="Y688" s="38">
        <f>ROUND((M688*J685+1.3*N685+S688*G685),4)</f>
        <v>36.92</v>
      </c>
      <c r="Z688" s="276">
        <f>ROUND((P685*T688*F685*O685/1000000),4)</f>
        <v>0</v>
      </c>
      <c r="AA688" s="276">
        <f>ROUND((Q685*U688*F685*O685/1000000),4)</f>
        <v>7.22E-2</v>
      </c>
      <c r="AB688" s="276">
        <f>ROUND((R685*V688*F685*O685/1000000),4)</f>
        <v>0.16020000000000001</v>
      </c>
      <c r="AC688" s="277" t="s">
        <v>548</v>
      </c>
      <c r="AD688" s="278" t="s">
        <v>549</v>
      </c>
      <c r="AE688" s="40">
        <f>ROUND((((X688*E685)/1800)),4)</f>
        <v>2.1100000000000001E-2</v>
      </c>
      <c r="AF688" s="40">
        <f>ROUND(((Z688+AA688+AB688)),4)</f>
        <v>0.2324</v>
      </c>
      <c r="AG688" s="254"/>
      <c r="AH688" s="254"/>
    </row>
    <row r="689" spans="1:34" s="61" customFormat="1" ht="15" customHeight="1" x14ac:dyDescent="0.25">
      <c r="A689" s="289"/>
      <c r="B689" s="280"/>
      <c r="C689" s="39"/>
      <c r="D689" s="39"/>
      <c r="E689" s="39"/>
      <c r="F689" s="39"/>
      <c r="G689" s="39"/>
      <c r="H689" s="39"/>
      <c r="I689" s="39"/>
      <c r="J689" s="39"/>
      <c r="K689" s="39"/>
      <c r="L689" s="40">
        <v>0.72</v>
      </c>
      <c r="M689" s="40">
        <v>1.08</v>
      </c>
      <c r="N689" s="39"/>
      <c r="O689" s="39"/>
      <c r="P689" s="39"/>
      <c r="Q689" s="39"/>
      <c r="R689" s="39"/>
      <c r="S689" s="285">
        <v>0.17</v>
      </c>
      <c r="T689" s="38">
        <f>ROUND((L689*I685+1.3*L689*K685+S689*H685),4)</f>
        <v>1388.3879999999999</v>
      </c>
      <c r="U689" s="38">
        <f>ROUND((M689*0.9*I685+1.3*M689*0.9*K685+S689*H685),4)</f>
        <v>1870.7538</v>
      </c>
      <c r="V689" s="38">
        <f>ROUND((M689*I685+1.3*M689*K685+S689*H685),4)</f>
        <v>2077.482</v>
      </c>
      <c r="W689" s="38">
        <f>ROUND((L689*J685+1.3*L689*N685+S689*G685),4)</f>
        <v>20.46</v>
      </c>
      <c r="X689" s="38">
        <f>ROUND((M689*0.9*J685+1.3*M689*0.9*N685+S689*G685),4)</f>
        <v>27.263999999999999</v>
      </c>
      <c r="Y689" s="38">
        <f>ROUND((M689*J685+1.3*M689*N685+S689*G685),4)</f>
        <v>30.18</v>
      </c>
      <c r="Z689" s="276">
        <f>ROUND((P685*T689*F685*O685/1000000),4)</f>
        <v>0</v>
      </c>
      <c r="AA689" s="276">
        <f>ROUND((Q685*U689*F685*O685/1000000),4)</f>
        <v>5.6099999999999997E-2</v>
      </c>
      <c r="AB689" s="276">
        <f>ROUND((R685*V689*F685*O685/1000000),4)</f>
        <v>0.1246</v>
      </c>
      <c r="AC689" s="277" t="s">
        <v>172</v>
      </c>
      <c r="AD689" s="278" t="s">
        <v>173</v>
      </c>
      <c r="AE689" s="40">
        <f>ROUND((((X689*E685)/1800)),4)</f>
        <v>1.5100000000000001E-2</v>
      </c>
      <c r="AF689" s="40">
        <f>ROUND(((Z689+AA689+AB689)),4)</f>
        <v>0.1807</v>
      </c>
      <c r="AG689" s="254"/>
      <c r="AH689" s="254"/>
    </row>
    <row r="690" spans="1:34" s="61" customFormat="1" ht="15" customHeight="1" x14ac:dyDescent="0.25">
      <c r="A690" s="289"/>
      <c r="B690" s="286"/>
      <c r="C690" s="119"/>
      <c r="D690" s="119"/>
      <c r="E690" s="119"/>
      <c r="F690" s="119"/>
      <c r="G690" s="119"/>
      <c r="H690" s="119"/>
      <c r="I690" s="119"/>
      <c r="J690" s="119"/>
      <c r="K690" s="119"/>
      <c r="L690" s="40">
        <v>3.37</v>
      </c>
      <c r="M690" s="40">
        <v>4.1100000000000003</v>
      </c>
      <c r="N690" s="119"/>
      <c r="O690" s="119"/>
      <c r="P690" s="119"/>
      <c r="Q690" s="119"/>
      <c r="R690" s="119"/>
      <c r="S690" s="285">
        <v>6.31</v>
      </c>
      <c r="T690" s="38">
        <f>ROUND((L690*I685+1.3*L690*K685+S690*H685),4)</f>
        <v>6829.2855</v>
      </c>
      <c r="U690" s="38">
        <f>ROUND((M690*0.9*I685+1.3*M690*0.9*K685+S690*H685),4)</f>
        <v>7459.0409</v>
      </c>
      <c r="V690" s="38">
        <f>ROUND((M690*I685+1.3*M690*K685+S690*H685),4)</f>
        <v>8245.7564999999995</v>
      </c>
      <c r="W690" s="38">
        <f>ROUND((L690*J685+1.3*L690*N685+S690*G685),4)</f>
        <v>128.85</v>
      </c>
      <c r="X690" s="38">
        <f>ROUND((M690*0.9*J685+1.3*M690*0.9*N685+S690*G685),4)</f>
        <v>137.733</v>
      </c>
      <c r="Y690" s="38">
        <f>ROUND((M690*J685+1.3*M690*N685+S690*G685),4)</f>
        <v>148.83000000000001</v>
      </c>
      <c r="Z690" s="276">
        <f>ROUND((P685*T690*F685*O685/1000000),4)</f>
        <v>0</v>
      </c>
      <c r="AA690" s="276">
        <f>ROUND((Q685*U690*F685*O685/1000000),4)</f>
        <v>0.2238</v>
      </c>
      <c r="AB690" s="276">
        <f>ROUND((R685*V690*F685*O685/1000000),4)</f>
        <v>0.49469999999999997</v>
      </c>
      <c r="AC690" s="277" t="s">
        <v>157</v>
      </c>
      <c r="AD690" s="278" t="s">
        <v>153</v>
      </c>
      <c r="AE690" s="40">
        <f>ROUND((((X690*E685)/1800)),4)</f>
        <v>7.6499999999999999E-2</v>
      </c>
      <c r="AF690" s="40">
        <f>ROUND(((Z690+AA690+AB690)),4)</f>
        <v>0.71850000000000003</v>
      </c>
      <c r="AG690" s="254"/>
      <c r="AH690" s="254"/>
    </row>
    <row r="691" spans="1:34" s="61" customFormat="1" ht="15" customHeight="1" x14ac:dyDescent="0.25">
      <c r="A691" s="289"/>
      <c r="B691" s="1478" t="s">
        <v>568</v>
      </c>
      <c r="C691" s="274">
        <v>6</v>
      </c>
      <c r="D691" s="38" t="s">
        <v>556</v>
      </c>
      <c r="E691" s="38">
        <v>1</v>
      </c>
      <c r="F691" s="38">
        <v>3</v>
      </c>
      <c r="G691" s="38">
        <v>6</v>
      </c>
      <c r="H691" s="38">
        <v>60</v>
      </c>
      <c r="I691" s="38">
        <f>(8-1-0.75*2)*60*F691-K691-8*0.12*60</f>
        <v>288.89999999999998</v>
      </c>
      <c r="J691" s="38">
        <v>14</v>
      </c>
      <c r="K691" s="38">
        <f>(8-1-0.75*2)*0.65*60*F691</f>
        <v>643.5</v>
      </c>
      <c r="L691" s="38">
        <v>6.47</v>
      </c>
      <c r="M691" s="38">
        <v>6.47</v>
      </c>
      <c r="N691" s="38">
        <v>10</v>
      </c>
      <c r="O691" s="38">
        <f>E691/F691</f>
        <v>0.33333333333333331</v>
      </c>
      <c r="P691" s="38">
        <v>0</v>
      </c>
      <c r="Q691" s="38">
        <v>30</v>
      </c>
      <c r="R691" s="275">
        <v>60</v>
      </c>
      <c r="S691" s="275">
        <v>1.27</v>
      </c>
      <c r="T691" s="38">
        <f>ROUND((L691*I691+1.3*L691*K691+S691*H691),4)</f>
        <v>7357.8615</v>
      </c>
      <c r="U691" s="38">
        <f>ROUND((M691*I691+1.3*M691*K691+S691*H691),4)</f>
        <v>7357.8615</v>
      </c>
      <c r="V691" s="38">
        <f>ROUND((M691*I691+1.3*M691*K691+S691*H691),4)</f>
        <v>7357.8615</v>
      </c>
      <c r="W691" s="38">
        <f>ROUND((L691*J691+1.3*L691*N691+S691*G691),4)</f>
        <v>182.31</v>
      </c>
      <c r="X691" s="38">
        <f>ROUND((M691*J691+1.3*M691*N691+S691*G691),4)</f>
        <v>182.31</v>
      </c>
      <c r="Y691" s="38">
        <f>ROUND((M691*J691+1.3*M691*N691+S691*G691),4)</f>
        <v>182.31</v>
      </c>
      <c r="Z691" s="276">
        <f>ROUND((P691*T691*F691*O691/1000000),4)</f>
        <v>0</v>
      </c>
      <c r="AA691" s="276">
        <f>ROUND((Q691*U691*F691*O691/1000000),4)</f>
        <v>0.22070000000000001</v>
      </c>
      <c r="AB691" s="276">
        <f>ROUND((R691*V691*F691*O691/1000000),4)</f>
        <v>0.4415</v>
      </c>
      <c r="AC691" s="277" t="s">
        <v>165</v>
      </c>
      <c r="AD691" s="278" t="s">
        <v>144</v>
      </c>
      <c r="AE691" s="40">
        <f>ROUND((((X691*E691)/1800)*0.8),4)</f>
        <v>8.1000000000000003E-2</v>
      </c>
      <c r="AF691" s="40">
        <f>ROUND(((Z691+AA691+AB691)*0.8),4)</f>
        <v>0.52980000000000005</v>
      </c>
      <c r="AG691" s="254"/>
      <c r="AH691" s="254"/>
    </row>
    <row r="692" spans="1:34" s="61" customFormat="1" ht="15" customHeight="1" x14ac:dyDescent="0.25">
      <c r="A692" s="289"/>
      <c r="B692" s="1634"/>
      <c r="C692" s="39"/>
      <c r="D692" s="39"/>
      <c r="E692" s="39"/>
      <c r="F692" s="39"/>
      <c r="G692" s="39"/>
      <c r="H692" s="39"/>
      <c r="I692" s="39"/>
      <c r="J692" s="39"/>
      <c r="K692" s="39"/>
      <c r="L692" s="119"/>
      <c r="M692" s="119"/>
      <c r="N692" s="39"/>
      <c r="O692" s="39"/>
      <c r="P692" s="39"/>
      <c r="Q692" s="39"/>
      <c r="R692" s="39"/>
      <c r="S692" s="281"/>
      <c r="T692" s="39"/>
      <c r="U692" s="39"/>
      <c r="V692" s="39"/>
      <c r="W692" s="39"/>
      <c r="X692" s="39"/>
      <c r="Y692" s="39"/>
      <c r="Z692" s="39"/>
      <c r="AA692" s="39"/>
      <c r="AB692" s="39"/>
      <c r="AC692" s="277" t="s">
        <v>166</v>
      </c>
      <c r="AD692" s="278" t="s">
        <v>167</v>
      </c>
      <c r="AE692" s="40">
        <f>ROUND((((X691*E691)/1800)*0.13),4)</f>
        <v>1.32E-2</v>
      </c>
      <c r="AF692" s="40">
        <f>ROUND(((Z691+AA691+AB691)*0.13),4)</f>
        <v>8.6099999999999996E-2</v>
      </c>
      <c r="AG692" s="254"/>
      <c r="AH692" s="254"/>
    </row>
    <row r="693" spans="1:34" s="61" customFormat="1" ht="15" customHeight="1" x14ac:dyDescent="0.25">
      <c r="A693" s="289"/>
      <c r="B693" s="280" t="s">
        <v>589</v>
      </c>
      <c r="C693" s="283"/>
      <c r="D693" s="283"/>
      <c r="E693" s="39"/>
      <c r="F693" s="39"/>
      <c r="G693" s="39"/>
      <c r="H693" s="39"/>
      <c r="I693" s="39"/>
      <c r="J693" s="39"/>
      <c r="K693" s="39"/>
      <c r="L693" s="40">
        <v>0.51</v>
      </c>
      <c r="M693" s="40">
        <v>0.63</v>
      </c>
      <c r="N693" s="39"/>
      <c r="O693" s="39"/>
      <c r="P693" s="39"/>
      <c r="Q693" s="39"/>
      <c r="R693" s="39"/>
      <c r="S693" s="284">
        <v>0.25</v>
      </c>
      <c r="T693" s="38">
        <f>ROUND((L693*I691+1.3*L693*K691+S693*H691),4)</f>
        <v>588.97950000000003</v>
      </c>
      <c r="U693" s="38">
        <f>ROUND((M693*0.9*I691+1.3*M693*0.9*K691+S693*H691),4)</f>
        <v>653.13019999999995</v>
      </c>
      <c r="V693" s="38">
        <f>ROUND((M693*I691+1.3*M693*K691+S693*H691),4)</f>
        <v>724.0335</v>
      </c>
      <c r="W693" s="38">
        <f>ROUND((L693*J691+1.3*L693*N691+S693*G691),4)</f>
        <v>15.27</v>
      </c>
      <c r="X693" s="38">
        <f>ROUND((M693*0.9*J691+1.3*M693*0.9*N691+S693*G691),4)</f>
        <v>16.809000000000001</v>
      </c>
      <c r="Y693" s="38">
        <f>ROUND((M693*J691+1.3*M693*N691+S693*G691),4)</f>
        <v>18.510000000000002</v>
      </c>
      <c r="Z693" s="276">
        <f>ROUND((P691*T693*F691*O691/1000000),4)</f>
        <v>0</v>
      </c>
      <c r="AA693" s="276">
        <f>ROUND((Q691*U693*F691*O691/1000000),4)</f>
        <v>1.9599999999999999E-2</v>
      </c>
      <c r="AB693" s="276">
        <f>ROUND((R691*V693*F691*O691/1000000),4)</f>
        <v>4.3400000000000001E-2</v>
      </c>
      <c r="AC693" s="277" t="s">
        <v>547</v>
      </c>
      <c r="AD693" s="278" t="s">
        <v>169</v>
      </c>
      <c r="AE693" s="40">
        <f>ROUND((((X693*E691)/1800)),4)</f>
        <v>9.2999999999999992E-3</v>
      </c>
      <c r="AF693" s="40">
        <f>ROUND(((Z693+AA693+AB693)),5)</f>
        <v>6.3E-2</v>
      </c>
      <c r="AG693" s="254"/>
      <c r="AH693" s="254"/>
    </row>
    <row r="694" spans="1:34" s="61" customFormat="1" ht="15" customHeight="1" x14ac:dyDescent="0.25">
      <c r="A694" s="289"/>
      <c r="B694" s="280"/>
      <c r="C694" s="39"/>
      <c r="D694" s="39"/>
      <c r="E694" s="39"/>
      <c r="F694" s="39"/>
      <c r="G694" s="39"/>
      <c r="H694" s="39"/>
      <c r="I694" s="39"/>
      <c r="J694" s="39"/>
      <c r="K694" s="39"/>
      <c r="L694" s="40">
        <v>1.1399999999999999</v>
      </c>
      <c r="M694" s="40">
        <v>1.37</v>
      </c>
      <c r="N694" s="39"/>
      <c r="O694" s="39"/>
      <c r="P694" s="39"/>
      <c r="Q694" s="39"/>
      <c r="R694" s="39"/>
      <c r="S694" s="285">
        <v>0.79</v>
      </c>
      <c r="T694" s="38">
        <f>ROUND((L694*I691+1.3*L694*K691+S694*H691),4)</f>
        <v>1330.413</v>
      </c>
      <c r="U694" s="38">
        <f>ROUND((M694*0.9*I691+1.3*M694*0.9*K691+S694*H691),4)</f>
        <v>1435.0799</v>
      </c>
      <c r="V694" s="38">
        <f>ROUND((M694*I691+1.3*M694*K691+S694*H691),4)</f>
        <v>1589.2665</v>
      </c>
      <c r="W694" s="38">
        <f>ROUND((L694*J691+1.3*L694*N691+S694*G691),4)</f>
        <v>35.520000000000003</v>
      </c>
      <c r="X694" s="38">
        <f>ROUND((M694*0.9*J691+1.3*M694*0.9*N691+S694*G691),4)</f>
        <v>38.030999999999999</v>
      </c>
      <c r="Y694" s="38">
        <f>ROUND((M694*J691+1.3*N691+S694*G691),4)</f>
        <v>36.92</v>
      </c>
      <c r="Z694" s="276">
        <f>ROUND((P691*T694*F691*O691/1000000),4)</f>
        <v>0</v>
      </c>
      <c r="AA694" s="276">
        <f>ROUND((Q691*U694*F691*O691/1000000),4)</f>
        <v>4.3099999999999999E-2</v>
      </c>
      <c r="AB694" s="276">
        <f>ROUND((R691*V694*F691*O691/1000000),4)</f>
        <v>9.5399999999999999E-2</v>
      </c>
      <c r="AC694" s="277" t="s">
        <v>548</v>
      </c>
      <c r="AD694" s="278" t="s">
        <v>549</v>
      </c>
      <c r="AE694" s="40">
        <f>ROUND((((X694*E691)/1800)),4)</f>
        <v>2.1100000000000001E-2</v>
      </c>
      <c r="AF694" s="40">
        <f>ROUND(((Z694+AA694+AB694)),4)</f>
        <v>0.13850000000000001</v>
      </c>
      <c r="AG694" s="254"/>
      <c r="AH694" s="254"/>
    </row>
    <row r="695" spans="1:34" s="61" customFormat="1" ht="15" customHeight="1" x14ac:dyDescent="0.25">
      <c r="A695" s="289"/>
      <c r="B695" s="280"/>
      <c r="C695" s="39"/>
      <c r="D695" s="39"/>
      <c r="E695" s="39"/>
      <c r="F695" s="39"/>
      <c r="G695" s="39"/>
      <c r="H695" s="39"/>
      <c r="I695" s="39"/>
      <c r="J695" s="39"/>
      <c r="K695" s="39"/>
      <c r="L695" s="40">
        <v>0.72</v>
      </c>
      <c r="M695" s="40">
        <v>1.08</v>
      </c>
      <c r="N695" s="39"/>
      <c r="O695" s="39"/>
      <c r="P695" s="39"/>
      <c r="Q695" s="39"/>
      <c r="R695" s="39"/>
      <c r="S695" s="285">
        <v>0.17</v>
      </c>
      <c r="T695" s="38">
        <f>ROUND((L695*I691+1.3*L695*K691+S695*H691),4)</f>
        <v>820.524</v>
      </c>
      <c r="U695" s="38">
        <f>ROUND((M695*0.9*I691+1.3*M695*0.9*K691+S695*H691),4)</f>
        <v>1104.1374000000001</v>
      </c>
      <c r="V695" s="38">
        <f>ROUND((M695*I691+1.3*M695*K691+S695*H691),4)</f>
        <v>1225.6859999999999</v>
      </c>
      <c r="W695" s="38">
        <f>ROUND((L695*J691+1.3*L695*N691+S695*G691),4)</f>
        <v>20.46</v>
      </c>
      <c r="X695" s="38">
        <f>ROUND((M695*0.9*J691+1.3*M695*0.9*N691+S695*G691),4)</f>
        <v>27.263999999999999</v>
      </c>
      <c r="Y695" s="38">
        <f>ROUND((M695*J691+1.3*M695*N691+S695*G691),4)</f>
        <v>30.18</v>
      </c>
      <c r="Z695" s="276">
        <f>ROUND((P691*T695*F691*O691/1000000),4)</f>
        <v>0</v>
      </c>
      <c r="AA695" s="276">
        <f>ROUND((Q691*U695*F691*O691/1000000),4)</f>
        <v>3.3099999999999997E-2</v>
      </c>
      <c r="AB695" s="276">
        <f>ROUND((R691*V695*F691*O691/1000000),4)</f>
        <v>7.3499999999999996E-2</v>
      </c>
      <c r="AC695" s="277" t="s">
        <v>172</v>
      </c>
      <c r="AD695" s="278" t="s">
        <v>173</v>
      </c>
      <c r="AE695" s="40">
        <f>ROUND((((X695*E691)/1800)),4)</f>
        <v>1.5100000000000001E-2</v>
      </c>
      <c r="AF695" s="40">
        <f>ROUND(((Z695+AA695+AB695)),4)</f>
        <v>0.1066</v>
      </c>
      <c r="AG695" s="254"/>
      <c r="AH695" s="254"/>
    </row>
    <row r="696" spans="1:34" s="61" customFormat="1" ht="15" customHeight="1" x14ac:dyDescent="0.25">
      <c r="A696" s="289"/>
      <c r="B696" s="286"/>
      <c r="C696" s="119"/>
      <c r="D696" s="119"/>
      <c r="E696" s="119"/>
      <c r="F696" s="119"/>
      <c r="G696" s="119"/>
      <c r="H696" s="119"/>
      <c r="I696" s="119"/>
      <c r="J696" s="119"/>
      <c r="K696" s="119"/>
      <c r="L696" s="40">
        <v>3.37</v>
      </c>
      <c r="M696" s="40">
        <v>4.1100000000000003</v>
      </c>
      <c r="N696" s="119"/>
      <c r="O696" s="119"/>
      <c r="P696" s="119"/>
      <c r="Q696" s="119"/>
      <c r="R696" s="119"/>
      <c r="S696" s="285">
        <v>6.31</v>
      </c>
      <c r="T696" s="38">
        <f>ROUND((L696*I691+1.3*L696*K691+S696*H691),4)</f>
        <v>4171.3665000000001</v>
      </c>
      <c r="U696" s="38">
        <f>ROUND((M696*0.9*I691+1.3*M696*0.9*K691+S696*H691),4)</f>
        <v>4541.6396000000004</v>
      </c>
      <c r="V696" s="38">
        <f>ROUND((M696*I691+1.3*M696*K691+S696*H691),4)</f>
        <v>5004.1994999999997</v>
      </c>
      <c r="W696" s="38">
        <f>ROUND((L696*J691+1.3*L696*N691+S696*G691),4)</f>
        <v>128.85</v>
      </c>
      <c r="X696" s="38">
        <f>ROUND((M696*0.9*J691+1.3*M696*0.9*N691+S696*G691),4)</f>
        <v>137.733</v>
      </c>
      <c r="Y696" s="38">
        <f>ROUND((M696*J691+1.3*M696*N691+S696*G691),4)</f>
        <v>148.83000000000001</v>
      </c>
      <c r="Z696" s="276">
        <f>ROUND((P691*T696*F691*O691/1000000),4)</f>
        <v>0</v>
      </c>
      <c r="AA696" s="276">
        <f>ROUND((Q691*U696*F691*O691/1000000),4)</f>
        <v>0.13619999999999999</v>
      </c>
      <c r="AB696" s="276">
        <f>ROUND((R691*V696*F691*O691/1000000),4)</f>
        <v>0.30030000000000001</v>
      </c>
      <c r="AC696" s="277" t="s">
        <v>157</v>
      </c>
      <c r="AD696" s="278" t="s">
        <v>153</v>
      </c>
      <c r="AE696" s="40">
        <f>ROUND((((X696*E691)/1800)),4)</f>
        <v>7.6499999999999999E-2</v>
      </c>
      <c r="AF696" s="40">
        <f>ROUND(((Z696+AA696+AB696)),4)</f>
        <v>0.4365</v>
      </c>
      <c r="AG696" s="254"/>
      <c r="AH696" s="254"/>
    </row>
    <row r="697" spans="1:34" s="61" customFormat="1" ht="15" customHeight="1" x14ac:dyDescent="0.25">
      <c r="A697" s="289"/>
      <c r="B697" s="274" t="s">
        <v>592</v>
      </c>
      <c r="C697" s="274">
        <v>5</v>
      </c>
      <c r="D697" s="38" t="s">
        <v>552</v>
      </c>
      <c r="E697" s="38">
        <v>1</v>
      </c>
      <c r="F697" s="38">
        <v>1</v>
      </c>
      <c r="G697" s="38">
        <v>6</v>
      </c>
      <c r="H697" s="38">
        <v>60</v>
      </c>
      <c r="I697" s="38">
        <f>(8-1-0.75*2)*60*F697-K697-8*0.12*60</f>
        <v>57.900000000000006</v>
      </c>
      <c r="J697" s="38">
        <v>14</v>
      </c>
      <c r="K697" s="38">
        <f>(8-1-0.75*2)*0.65*60*F697</f>
        <v>214.5</v>
      </c>
      <c r="L697" s="38">
        <v>4.01</v>
      </c>
      <c r="M697" s="38">
        <v>4.01</v>
      </c>
      <c r="N697" s="38">
        <v>10</v>
      </c>
      <c r="O697" s="38">
        <f>E697/F697</f>
        <v>1</v>
      </c>
      <c r="P697" s="38">
        <v>0</v>
      </c>
      <c r="Q697" s="38">
        <v>30</v>
      </c>
      <c r="R697" s="275">
        <v>60</v>
      </c>
      <c r="S697" s="275">
        <v>0.78</v>
      </c>
      <c r="T697" s="38">
        <f>ROUND((L697*I697+1.3*L697*K697+S697*H697),4)</f>
        <v>1397.1675</v>
      </c>
      <c r="U697" s="38">
        <f>ROUND((M697*I697+1.3*M697*K697+S697*H697),4)</f>
        <v>1397.1675</v>
      </c>
      <c r="V697" s="38">
        <f>ROUND((M697*I697+1.3*M697*K697+S697*H697),4)</f>
        <v>1397.1675</v>
      </c>
      <c r="W697" s="38">
        <f>ROUND((L697*J697+1.3*L697*N697+S697*G697),4)</f>
        <v>112.95</v>
      </c>
      <c r="X697" s="38">
        <f>ROUND((M697*J697+1.3*M697*N697+S697*G697),4)</f>
        <v>112.95</v>
      </c>
      <c r="Y697" s="38">
        <f>ROUND((M697*J697+1.3*M697*N697+S697*G697),4)</f>
        <v>112.95</v>
      </c>
      <c r="Z697" s="276">
        <f>ROUND((P697*T697*F697*O697/1000000),4)</f>
        <v>0</v>
      </c>
      <c r="AA697" s="276">
        <f>ROUND((Q697*U697*F697*O697/1000000),4)</f>
        <v>4.19E-2</v>
      </c>
      <c r="AB697" s="276">
        <f>ROUND((R697*V697*F697*O697/1000000),4)</f>
        <v>8.3799999999999999E-2</v>
      </c>
      <c r="AC697" s="277" t="s">
        <v>165</v>
      </c>
      <c r="AD697" s="278" t="s">
        <v>144</v>
      </c>
      <c r="AE697" s="40">
        <f>ROUND((((X697*E697)/1800)*0.8),4)</f>
        <v>5.0200000000000002E-2</v>
      </c>
      <c r="AF697" s="40">
        <f>ROUND(((Z697+AA697+AB697)*0.8),4)</f>
        <v>0.10059999999999999</v>
      </c>
      <c r="AG697" s="254"/>
      <c r="AH697" s="254"/>
    </row>
    <row r="698" spans="1:34" s="61" customFormat="1" ht="15" customHeight="1" x14ac:dyDescent="0.25">
      <c r="A698" s="289"/>
      <c r="B698" s="279" t="s">
        <v>608</v>
      </c>
      <c r="C698" s="280"/>
      <c r="D698" s="39"/>
      <c r="E698" s="39"/>
      <c r="F698" s="39"/>
      <c r="G698" s="39"/>
      <c r="H698" s="39"/>
      <c r="I698" s="39"/>
      <c r="J698" s="39"/>
      <c r="K698" s="39"/>
      <c r="L698" s="119"/>
      <c r="M698" s="119"/>
      <c r="N698" s="39"/>
      <c r="O698" s="39"/>
      <c r="P698" s="39"/>
      <c r="Q698" s="39"/>
      <c r="R698" s="39"/>
      <c r="S698" s="281"/>
      <c r="T698" s="39"/>
      <c r="U698" s="39"/>
      <c r="V698" s="39"/>
      <c r="W698" s="39"/>
      <c r="X698" s="39"/>
      <c r="Y698" s="39"/>
      <c r="Z698" s="39"/>
      <c r="AA698" s="39"/>
      <c r="AB698" s="39"/>
      <c r="AC698" s="277" t="s">
        <v>166</v>
      </c>
      <c r="AD698" s="278" t="s">
        <v>167</v>
      </c>
      <c r="AE698" s="40">
        <f>ROUND((((X697*E697)/1800)*0.13),4)</f>
        <v>8.2000000000000007E-3</v>
      </c>
      <c r="AF698" s="40">
        <f>ROUND(((Z697+AA697+AB697)*0.13),4)</f>
        <v>1.6299999999999999E-2</v>
      </c>
      <c r="AG698" s="254"/>
      <c r="AH698" s="254"/>
    </row>
    <row r="699" spans="1:34" s="61" customFormat="1" ht="15" customHeight="1" x14ac:dyDescent="0.25">
      <c r="A699" s="289"/>
      <c r="B699" s="280"/>
      <c r="C699" s="282"/>
      <c r="D699" s="283"/>
      <c r="E699" s="39"/>
      <c r="F699" s="39"/>
      <c r="G699" s="39"/>
      <c r="H699" s="39"/>
      <c r="I699" s="39"/>
      <c r="J699" s="39"/>
      <c r="K699" s="39"/>
      <c r="L699" s="40">
        <v>0.31</v>
      </c>
      <c r="M699" s="40">
        <v>0.38</v>
      </c>
      <c r="N699" s="39"/>
      <c r="O699" s="39"/>
      <c r="P699" s="39"/>
      <c r="Q699" s="39"/>
      <c r="R699" s="39"/>
      <c r="S699" s="284">
        <v>0.16</v>
      </c>
      <c r="T699" s="38">
        <f>ROUND((L699*I697+1.3*L699*K697+S699*H697),4)</f>
        <v>113.99250000000001</v>
      </c>
      <c r="U699" s="38">
        <f>ROUND((M699*0.9*I697+1.3*M699*0.9*K697+S699*H697),4)</f>
        <v>124.7685</v>
      </c>
      <c r="V699" s="38">
        <f>ROUND((M699*I697+1.3*M699*K697+S699*H697),4)</f>
        <v>137.565</v>
      </c>
      <c r="W699" s="38">
        <f>ROUND((L699*J697+1.3*L699*N697+S699*G697),4)</f>
        <v>9.33</v>
      </c>
      <c r="X699" s="38">
        <f>ROUND((M699*0.9*J697+1.3*M699*0.9*N697+S699*G697),4)</f>
        <v>10.194000000000001</v>
      </c>
      <c r="Y699" s="38">
        <f>ROUND((M699*J697+1.3*M699*N697+S699*G697),4)</f>
        <v>11.22</v>
      </c>
      <c r="Z699" s="276">
        <f>ROUND((P697*T699*F697*O697/1000000),4)</f>
        <v>0</v>
      </c>
      <c r="AA699" s="276">
        <f>ROUND((Q697*U699*F697*O697/1000000),4)</f>
        <v>3.7000000000000002E-3</v>
      </c>
      <c r="AB699" s="276">
        <f>ROUND((R697*V699*F697*O697/1000000),4)</f>
        <v>8.3000000000000001E-3</v>
      </c>
      <c r="AC699" s="277" t="s">
        <v>547</v>
      </c>
      <c r="AD699" s="278" t="s">
        <v>169</v>
      </c>
      <c r="AE699" s="40">
        <f>ROUND((((X699*E697)/1800)),4)</f>
        <v>5.7000000000000002E-3</v>
      </c>
      <c r="AF699" s="40">
        <f>ROUND(((Z699+AA699+AB699)),5)</f>
        <v>1.2E-2</v>
      </c>
      <c r="AG699" s="254"/>
      <c r="AH699" s="254"/>
    </row>
    <row r="700" spans="1:34" s="61" customFormat="1" ht="15" customHeight="1" x14ac:dyDescent="0.25">
      <c r="A700" s="289"/>
      <c r="B700" s="280"/>
      <c r="C700" s="280"/>
      <c r="D700" s="39"/>
      <c r="E700" s="39"/>
      <c r="F700" s="39"/>
      <c r="G700" s="39"/>
      <c r="H700" s="39"/>
      <c r="I700" s="39"/>
      <c r="J700" s="39"/>
      <c r="K700" s="39"/>
      <c r="L700" s="40">
        <v>0.71</v>
      </c>
      <c r="M700" s="40">
        <v>0.85</v>
      </c>
      <c r="N700" s="39"/>
      <c r="O700" s="39"/>
      <c r="P700" s="39"/>
      <c r="Q700" s="39"/>
      <c r="R700" s="39"/>
      <c r="S700" s="285">
        <v>0.49</v>
      </c>
      <c r="T700" s="38">
        <f>ROUND((L700*I697+1.3*L700*K697+S700*H697),4)</f>
        <v>268.49250000000001</v>
      </c>
      <c r="U700" s="38">
        <f>ROUND((M700*0.9*I697+1.3*M700*0.9*K697+S700*H697),4)</f>
        <v>287.0138</v>
      </c>
      <c r="V700" s="38">
        <f>ROUND((M700*I697+1.3*M700*K697+S700*H697),4)</f>
        <v>315.63749999999999</v>
      </c>
      <c r="W700" s="38">
        <f>ROUND((L700*J697+1.3*L700*N697+S700*G697),4)</f>
        <v>22.11</v>
      </c>
      <c r="X700" s="38">
        <f>ROUND((M700*0.9*J697+1.3*M700*0.9*N697+S700*G697),4)</f>
        <v>23.594999999999999</v>
      </c>
      <c r="Y700" s="38">
        <f>ROUND((M700*J697+1.3*N697+S700*G697),4)</f>
        <v>27.84</v>
      </c>
      <c r="Z700" s="276">
        <f>ROUND((P697*T700*F697*O697/1000000),4)</f>
        <v>0</v>
      </c>
      <c r="AA700" s="276">
        <f>ROUND((Q697*U700*F697*O697/1000000),4)</f>
        <v>8.6E-3</v>
      </c>
      <c r="AB700" s="276">
        <f>ROUND((R697*V700*F697*O697/1000000),4)</f>
        <v>1.89E-2</v>
      </c>
      <c r="AC700" s="277" t="s">
        <v>548</v>
      </c>
      <c r="AD700" s="278" t="s">
        <v>549</v>
      </c>
      <c r="AE700" s="40">
        <f>ROUND((((X700*E697)/1800)),4)</f>
        <v>1.3100000000000001E-2</v>
      </c>
      <c r="AF700" s="40">
        <f>ROUND(((Z700+AA700+AB700)),4)</f>
        <v>2.75E-2</v>
      </c>
      <c r="AG700" s="254"/>
      <c r="AH700" s="254"/>
    </row>
    <row r="701" spans="1:34" s="61" customFormat="1" ht="15" customHeight="1" x14ac:dyDescent="0.25">
      <c r="A701" s="289"/>
      <c r="B701" s="280"/>
      <c r="C701" s="280"/>
      <c r="D701" s="39"/>
      <c r="E701" s="39"/>
      <c r="F701" s="39"/>
      <c r="G701" s="39"/>
      <c r="H701" s="39"/>
      <c r="I701" s="39"/>
      <c r="J701" s="39"/>
      <c r="K701" s="39"/>
      <c r="L701" s="40">
        <v>0.45</v>
      </c>
      <c r="M701" s="40">
        <v>0.67</v>
      </c>
      <c r="N701" s="39"/>
      <c r="O701" s="39"/>
      <c r="P701" s="39"/>
      <c r="Q701" s="39"/>
      <c r="R701" s="39"/>
      <c r="S701" s="285">
        <v>0.1</v>
      </c>
      <c r="T701" s="38">
        <f>ROUND((L701*I697+1.3*L701*K697+S701*H697),4)</f>
        <v>157.53749999999999</v>
      </c>
      <c r="U701" s="38">
        <f>ROUND((M701*0.9*I697+1.3*M701*0.9*K697+S701*H697),4)</f>
        <v>209.06030000000001</v>
      </c>
      <c r="V701" s="38">
        <f>ROUND((M701*I697+1.3*M701*K697+S701*H697),4)</f>
        <v>231.6225</v>
      </c>
      <c r="W701" s="38">
        <f>ROUND((L701*J697+1.3*L701*N697+S701*G697),4)</f>
        <v>12.75</v>
      </c>
      <c r="X701" s="38">
        <f>ROUND((M701*0.9*J697+1.3*M701*0.9*N697+S701*G697),4)</f>
        <v>16.881</v>
      </c>
      <c r="Y701" s="38">
        <f>ROUND((M701*J697+1.3*M701*N697+S701*G697),4)</f>
        <v>18.690000000000001</v>
      </c>
      <c r="Z701" s="276">
        <f>ROUND((P697*T701*F697*O697/1000000),4)</f>
        <v>0</v>
      </c>
      <c r="AA701" s="276">
        <f>ROUND((Q697*U701*F697*O697/1000000),4)</f>
        <v>6.3E-3</v>
      </c>
      <c r="AB701" s="276">
        <f>ROUND((R697*V701*F697*O697/1000000),4)</f>
        <v>1.3899999999999999E-2</v>
      </c>
      <c r="AC701" s="277" t="s">
        <v>172</v>
      </c>
      <c r="AD701" s="278" t="s">
        <v>173</v>
      </c>
      <c r="AE701" s="40">
        <f>ROUND((((X701*E697)/1800)),4)</f>
        <v>9.4000000000000004E-3</v>
      </c>
      <c r="AF701" s="40">
        <f>ROUND(((Z701+AA701+AB701)),4)</f>
        <v>2.0199999999999999E-2</v>
      </c>
      <c r="AG701" s="254"/>
      <c r="AH701" s="254"/>
    </row>
    <row r="702" spans="1:34" s="61" customFormat="1" ht="15" customHeight="1" x14ac:dyDescent="0.25">
      <c r="A702" s="289"/>
      <c r="B702" s="286"/>
      <c r="C702" s="286"/>
      <c r="D702" s="119"/>
      <c r="E702" s="119"/>
      <c r="F702" s="119"/>
      <c r="G702" s="119"/>
      <c r="H702" s="119"/>
      <c r="I702" s="119"/>
      <c r="J702" s="119"/>
      <c r="K702" s="119"/>
      <c r="L702" s="40">
        <v>2.09</v>
      </c>
      <c r="M702" s="40">
        <v>2.5499999999999998</v>
      </c>
      <c r="N702" s="119"/>
      <c r="O702" s="119"/>
      <c r="P702" s="119"/>
      <c r="Q702" s="119"/>
      <c r="R702" s="119"/>
      <c r="S702" s="285">
        <v>3.91</v>
      </c>
      <c r="T702" s="38">
        <f>ROUND((L702*I697+1.3*L702*K697+S702*H697),4)</f>
        <v>938.40750000000003</v>
      </c>
      <c r="U702" s="38">
        <f>ROUND((M702*0.9*I697+1.3*M702*0.9*K697+S702*H697),4)</f>
        <v>1007.4413</v>
      </c>
      <c r="V702" s="38">
        <f>ROUND((M702*I697+1.3*M702*K697+S702*H697),4)</f>
        <v>1093.3125</v>
      </c>
      <c r="W702" s="38">
        <f>ROUND((L702*J697+1.3*L702*N697+S702*G697),4)</f>
        <v>79.89</v>
      </c>
      <c r="X702" s="38">
        <f>ROUND((M702*0.9*J697+1.3*M702*0.9*N697+S702*G697),4)</f>
        <v>85.424999999999997</v>
      </c>
      <c r="Y702" s="38">
        <f>ROUND((M702*J697+1.3*M702*N697+S702*G697),4)</f>
        <v>92.31</v>
      </c>
      <c r="Z702" s="276">
        <f>ROUND((P697*T702*F697*O697/1000000),4)</f>
        <v>0</v>
      </c>
      <c r="AA702" s="276">
        <f>ROUND((Q697*U702*F697*O697/1000000),4)</f>
        <v>3.0200000000000001E-2</v>
      </c>
      <c r="AB702" s="276">
        <f>ROUND((R697*V702*F697*O697/1000000),4)</f>
        <v>6.5600000000000006E-2</v>
      </c>
      <c r="AC702" s="277" t="s">
        <v>157</v>
      </c>
      <c r="AD702" s="278" t="s">
        <v>153</v>
      </c>
      <c r="AE702" s="40">
        <f>ROUND((((X702*E697)/1800)),4)</f>
        <v>4.7500000000000001E-2</v>
      </c>
      <c r="AF702" s="40">
        <f>ROUND(((Z702+AA702+AB702)),4)</f>
        <v>9.5799999999999996E-2</v>
      </c>
      <c r="AG702" s="254"/>
      <c r="AH702" s="254"/>
    </row>
    <row r="703" spans="1:34" s="61" customFormat="1" ht="15" customHeight="1" x14ac:dyDescent="0.25">
      <c r="A703" s="289"/>
      <c r="B703" s="274" t="s">
        <v>592</v>
      </c>
      <c r="C703" s="274">
        <v>5</v>
      </c>
      <c r="D703" s="38" t="s">
        <v>552</v>
      </c>
      <c r="E703" s="38">
        <v>1</v>
      </c>
      <c r="F703" s="38">
        <v>1</v>
      </c>
      <c r="G703" s="38">
        <v>6</v>
      </c>
      <c r="H703" s="38">
        <v>60</v>
      </c>
      <c r="I703" s="38">
        <f>(8-1-0.75*2)*60*F703-K703-8*0.12*60</f>
        <v>57.900000000000006</v>
      </c>
      <c r="J703" s="38">
        <v>14</v>
      </c>
      <c r="K703" s="38">
        <f>(8-1-0.75*2)*0.65*60*F703</f>
        <v>214.5</v>
      </c>
      <c r="L703" s="38">
        <v>4.01</v>
      </c>
      <c r="M703" s="38">
        <v>4.01</v>
      </c>
      <c r="N703" s="38">
        <v>10</v>
      </c>
      <c r="O703" s="38">
        <f>E703/F703</f>
        <v>1</v>
      </c>
      <c r="P703" s="38">
        <v>0</v>
      </c>
      <c r="Q703" s="38">
        <v>30</v>
      </c>
      <c r="R703" s="275">
        <v>60</v>
      </c>
      <c r="S703" s="275">
        <v>0.78</v>
      </c>
      <c r="T703" s="38">
        <f>ROUND((L703*I703+1.3*L703*K703+S703*H703),4)</f>
        <v>1397.1675</v>
      </c>
      <c r="U703" s="38">
        <f>ROUND((M703*I703+1.3*M703*K703+S703*H703),4)</f>
        <v>1397.1675</v>
      </c>
      <c r="V703" s="38">
        <f>ROUND((M703*I703+1.3*M703*K703+S703*H703),4)</f>
        <v>1397.1675</v>
      </c>
      <c r="W703" s="38">
        <f>ROUND((L703*J703+1.3*L703*N703+S703*G703),4)</f>
        <v>112.95</v>
      </c>
      <c r="X703" s="38">
        <f>ROUND((M703*J703+1.3*M703*N703+S703*G703),4)</f>
        <v>112.95</v>
      </c>
      <c r="Y703" s="38">
        <f>ROUND((M703*J703+1.3*M703*N703+S703*G703),4)</f>
        <v>112.95</v>
      </c>
      <c r="Z703" s="276">
        <f>ROUND((P703*T703*F703*O703/1000000),4)</f>
        <v>0</v>
      </c>
      <c r="AA703" s="276">
        <f>ROUND((Q703*U703*F703*O703/1000000),4)</f>
        <v>4.19E-2</v>
      </c>
      <c r="AB703" s="276">
        <f>ROUND((R703*V703*F703*O703/1000000),4)</f>
        <v>8.3799999999999999E-2</v>
      </c>
      <c r="AC703" s="277" t="s">
        <v>165</v>
      </c>
      <c r="AD703" s="278" t="s">
        <v>144</v>
      </c>
      <c r="AE703" s="40">
        <f>ROUND((((X703*E703)/1800)*0.8),4)</f>
        <v>5.0200000000000002E-2</v>
      </c>
      <c r="AF703" s="40">
        <f>ROUND(((Z703+AA703+AB703)*0.8),4)</f>
        <v>0.10059999999999999</v>
      </c>
      <c r="AG703" s="254"/>
      <c r="AH703" s="254"/>
    </row>
    <row r="704" spans="1:34" s="61" customFormat="1" ht="15" customHeight="1" x14ac:dyDescent="0.25">
      <c r="A704" s="289"/>
      <c r="B704" s="279" t="s">
        <v>594</v>
      </c>
      <c r="C704" s="280"/>
      <c r="D704" s="39"/>
      <c r="E704" s="39"/>
      <c r="F704" s="39"/>
      <c r="G704" s="39"/>
      <c r="H704" s="39"/>
      <c r="I704" s="39"/>
      <c r="J704" s="39"/>
      <c r="K704" s="39"/>
      <c r="L704" s="119"/>
      <c r="M704" s="119"/>
      <c r="N704" s="39"/>
      <c r="O704" s="39"/>
      <c r="P704" s="39"/>
      <c r="Q704" s="39"/>
      <c r="R704" s="39"/>
      <c r="S704" s="281"/>
      <c r="T704" s="39"/>
      <c r="U704" s="39"/>
      <c r="V704" s="39"/>
      <c r="W704" s="39"/>
      <c r="X704" s="39"/>
      <c r="Y704" s="39"/>
      <c r="Z704" s="39"/>
      <c r="AA704" s="39"/>
      <c r="AB704" s="39"/>
      <c r="AC704" s="277" t="s">
        <v>166</v>
      </c>
      <c r="AD704" s="278" t="s">
        <v>167</v>
      </c>
      <c r="AE704" s="40">
        <f>ROUND((((X703*E703)/1800)*0.13),4)</f>
        <v>8.2000000000000007E-3</v>
      </c>
      <c r="AF704" s="40">
        <f>ROUND(((Z703+AA703+AB703)*0.13),4)</f>
        <v>1.6299999999999999E-2</v>
      </c>
      <c r="AG704" s="254"/>
      <c r="AH704" s="254"/>
    </row>
    <row r="705" spans="1:34" s="61" customFormat="1" ht="15" customHeight="1" x14ac:dyDescent="0.25">
      <c r="A705" s="289"/>
      <c r="B705" s="280"/>
      <c r="C705" s="282"/>
      <c r="D705" s="283"/>
      <c r="E705" s="39"/>
      <c r="F705" s="39"/>
      <c r="G705" s="39"/>
      <c r="H705" s="39"/>
      <c r="I705" s="39"/>
      <c r="J705" s="39"/>
      <c r="K705" s="39"/>
      <c r="L705" s="40">
        <v>0.31</v>
      </c>
      <c r="M705" s="40">
        <v>0.38</v>
      </c>
      <c r="N705" s="39"/>
      <c r="O705" s="39"/>
      <c r="P705" s="39"/>
      <c r="Q705" s="39"/>
      <c r="R705" s="39"/>
      <c r="S705" s="284">
        <v>0.16</v>
      </c>
      <c r="T705" s="38">
        <f>ROUND((L705*I703+1.3*L705*K703+S705*H703),4)</f>
        <v>113.99250000000001</v>
      </c>
      <c r="U705" s="38">
        <f>ROUND((M705*0.9*I703+1.3*M705*0.9*K703+S705*H703),4)</f>
        <v>124.7685</v>
      </c>
      <c r="V705" s="38">
        <f>ROUND((M705*I703+1.3*M705*K703+S705*H703),4)</f>
        <v>137.565</v>
      </c>
      <c r="W705" s="38">
        <f>ROUND((L705*J703+1.3*L705*N703+S705*G703),4)</f>
        <v>9.33</v>
      </c>
      <c r="X705" s="38">
        <f>ROUND((M705*0.9*J703+1.3*M705*0.9*N703+S705*G703),4)</f>
        <v>10.194000000000001</v>
      </c>
      <c r="Y705" s="38">
        <f>ROUND((M705*J703+1.3*M705*N703+S705*G703),4)</f>
        <v>11.22</v>
      </c>
      <c r="Z705" s="276">
        <f>ROUND((P703*T705*F703*O703/1000000),4)</f>
        <v>0</v>
      </c>
      <c r="AA705" s="276">
        <f>ROUND((Q703*U705*F703*O703/1000000),4)</f>
        <v>3.7000000000000002E-3</v>
      </c>
      <c r="AB705" s="276">
        <f>ROUND((R703*V705*F703*O703/1000000),4)</f>
        <v>8.3000000000000001E-3</v>
      </c>
      <c r="AC705" s="277" t="s">
        <v>547</v>
      </c>
      <c r="AD705" s="278" t="s">
        <v>169</v>
      </c>
      <c r="AE705" s="40">
        <f>ROUND((((X705*E703)/1800)),4)</f>
        <v>5.7000000000000002E-3</v>
      </c>
      <c r="AF705" s="40">
        <f>ROUND(((Z705+AA705+AB705)),5)</f>
        <v>1.2E-2</v>
      </c>
      <c r="AG705" s="254"/>
      <c r="AH705" s="254"/>
    </row>
    <row r="706" spans="1:34" s="61" customFormat="1" ht="15" customHeight="1" x14ac:dyDescent="0.25">
      <c r="A706" s="289"/>
      <c r="B706" s="280"/>
      <c r="C706" s="280"/>
      <c r="D706" s="39"/>
      <c r="E706" s="39"/>
      <c r="F706" s="39"/>
      <c r="G706" s="39"/>
      <c r="H706" s="39"/>
      <c r="I706" s="39"/>
      <c r="J706" s="39"/>
      <c r="K706" s="39"/>
      <c r="L706" s="40">
        <v>0.71</v>
      </c>
      <c r="M706" s="40">
        <v>0.85</v>
      </c>
      <c r="N706" s="39"/>
      <c r="O706" s="39"/>
      <c r="P706" s="39"/>
      <c r="Q706" s="39"/>
      <c r="R706" s="39"/>
      <c r="S706" s="285">
        <v>0.49</v>
      </c>
      <c r="T706" s="38">
        <f>ROUND((L706*I703+1.3*L706*K703+S706*H703),4)</f>
        <v>268.49250000000001</v>
      </c>
      <c r="U706" s="38">
        <f>ROUND((M706*0.9*I703+1.3*M706*0.9*K703+S706*H703),4)</f>
        <v>287.0138</v>
      </c>
      <c r="V706" s="38">
        <f>ROUND((M706*I703+1.3*M706*K703+S706*H703),4)</f>
        <v>315.63749999999999</v>
      </c>
      <c r="W706" s="38">
        <f>ROUND((L706*J703+1.3*L706*N703+S706*G703),4)</f>
        <v>22.11</v>
      </c>
      <c r="X706" s="38">
        <f>ROUND((M706*0.9*J703+1.3*M706*0.9*N703+S706*G703),4)</f>
        <v>23.594999999999999</v>
      </c>
      <c r="Y706" s="38">
        <f>ROUND((M706*J703+1.3*N703+S706*G703),4)</f>
        <v>27.84</v>
      </c>
      <c r="Z706" s="276">
        <f>ROUND((P703*T706*F703*O703/1000000),4)</f>
        <v>0</v>
      </c>
      <c r="AA706" s="276">
        <f>ROUND((Q703*U706*F703*O703/1000000),4)</f>
        <v>8.6E-3</v>
      </c>
      <c r="AB706" s="276">
        <f>ROUND((R703*V706*F703*O703/1000000),4)</f>
        <v>1.89E-2</v>
      </c>
      <c r="AC706" s="277" t="s">
        <v>548</v>
      </c>
      <c r="AD706" s="278" t="s">
        <v>549</v>
      </c>
      <c r="AE706" s="40">
        <f>ROUND((((X706*E703)/1800)),4)</f>
        <v>1.3100000000000001E-2</v>
      </c>
      <c r="AF706" s="40">
        <f>ROUND(((Z706+AA706+AB706)),4)</f>
        <v>2.75E-2</v>
      </c>
      <c r="AG706" s="254"/>
      <c r="AH706" s="254"/>
    </row>
    <row r="707" spans="1:34" s="61" customFormat="1" ht="15" customHeight="1" x14ac:dyDescent="0.25">
      <c r="A707" s="289"/>
      <c r="B707" s="280"/>
      <c r="C707" s="280"/>
      <c r="D707" s="39"/>
      <c r="E707" s="39"/>
      <c r="F707" s="39"/>
      <c r="G707" s="39"/>
      <c r="H707" s="39"/>
      <c r="I707" s="39"/>
      <c r="J707" s="39"/>
      <c r="K707" s="39"/>
      <c r="L707" s="40">
        <v>0.45</v>
      </c>
      <c r="M707" s="40">
        <v>0.67</v>
      </c>
      <c r="N707" s="39"/>
      <c r="O707" s="39"/>
      <c r="P707" s="39"/>
      <c r="Q707" s="39"/>
      <c r="R707" s="39"/>
      <c r="S707" s="285">
        <v>0.1</v>
      </c>
      <c r="T707" s="38">
        <f>ROUND((L707*I703+1.3*L707*K703+S707*H703),4)</f>
        <v>157.53749999999999</v>
      </c>
      <c r="U707" s="38">
        <f>ROUND((M707*0.9*I703+1.3*M707*0.9*K703+S707*H703),4)</f>
        <v>209.06030000000001</v>
      </c>
      <c r="V707" s="38">
        <f>ROUND((M707*I703+1.3*M707*K703+S707*H703),4)</f>
        <v>231.6225</v>
      </c>
      <c r="W707" s="38">
        <f>ROUND((L707*J703+1.3*L707*N703+S707*G703),4)</f>
        <v>12.75</v>
      </c>
      <c r="X707" s="38">
        <f>ROUND((M707*0.9*J703+1.3*M707*0.9*N703+S707*G703),4)</f>
        <v>16.881</v>
      </c>
      <c r="Y707" s="38">
        <f>ROUND((M707*J703+1.3*M707*N703+S707*G703),4)</f>
        <v>18.690000000000001</v>
      </c>
      <c r="Z707" s="276">
        <f>ROUND((P703*T707*F703*O703/1000000),4)</f>
        <v>0</v>
      </c>
      <c r="AA707" s="276">
        <f>ROUND((Q703*U707*F703*O703/1000000),4)</f>
        <v>6.3E-3</v>
      </c>
      <c r="AB707" s="276">
        <f>ROUND((R703*V707*F703*O703/1000000),4)</f>
        <v>1.3899999999999999E-2</v>
      </c>
      <c r="AC707" s="277" t="s">
        <v>172</v>
      </c>
      <c r="AD707" s="278" t="s">
        <v>173</v>
      </c>
      <c r="AE707" s="40">
        <f>ROUND((((X707*E703)/1800)),4)</f>
        <v>9.4000000000000004E-3</v>
      </c>
      <c r="AF707" s="40">
        <f>ROUND(((Z707+AA707+AB707)),4)</f>
        <v>2.0199999999999999E-2</v>
      </c>
      <c r="AG707" s="254"/>
      <c r="AH707" s="254"/>
    </row>
    <row r="708" spans="1:34" s="61" customFormat="1" ht="15" customHeight="1" x14ac:dyDescent="0.25">
      <c r="A708" s="289"/>
      <c r="B708" s="286"/>
      <c r="C708" s="286"/>
      <c r="D708" s="119"/>
      <c r="E708" s="119"/>
      <c r="F708" s="119"/>
      <c r="G708" s="119"/>
      <c r="H708" s="119"/>
      <c r="I708" s="119"/>
      <c r="J708" s="119"/>
      <c r="K708" s="119"/>
      <c r="L708" s="40">
        <v>2.09</v>
      </c>
      <c r="M708" s="40">
        <v>2.5499999999999998</v>
      </c>
      <c r="N708" s="119"/>
      <c r="O708" s="119"/>
      <c r="P708" s="119"/>
      <c r="Q708" s="119"/>
      <c r="R708" s="119"/>
      <c r="S708" s="285">
        <v>3.91</v>
      </c>
      <c r="T708" s="38">
        <f>ROUND((L708*I703+1.3*L708*K703+S708*H703),4)</f>
        <v>938.40750000000003</v>
      </c>
      <c r="U708" s="38">
        <f>ROUND((M708*0.9*I703+1.3*M708*0.9*K703+S708*H703),4)</f>
        <v>1007.4413</v>
      </c>
      <c r="V708" s="38">
        <f>ROUND((M708*I703+1.3*M708*K703+S708*H703),4)</f>
        <v>1093.3125</v>
      </c>
      <c r="W708" s="38">
        <f>ROUND((L708*J703+1.3*L708*N703+S708*G703),4)</f>
        <v>79.89</v>
      </c>
      <c r="X708" s="38">
        <f>ROUND((M708*0.9*J703+1.3*M708*0.9*N703+S708*G703),4)</f>
        <v>85.424999999999997</v>
      </c>
      <c r="Y708" s="38">
        <f>ROUND((M708*J703+1.3*M708*N703+S708*G703),4)</f>
        <v>92.31</v>
      </c>
      <c r="Z708" s="276">
        <f>ROUND((P703*T708*F703*O703/1000000),4)</f>
        <v>0</v>
      </c>
      <c r="AA708" s="276">
        <f>ROUND((Q703*U708*F703*O703/1000000),4)</f>
        <v>3.0200000000000001E-2</v>
      </c>
      <c r="AB708" s="276">
        <f>ROUND((R703*V708*F703*O703/1000000),4)</f>
        <v>6.5600000000000006E-2</v>
      </c>
      <c r="AC708" s="277" t="s">
        <v>157</v>
      </c>
      <c r="AD708" s="278" t="s">
        <v>153</v>
      </c>
      <c r="AE708" s="40">
        <f>ROUND((((X708*E703)/1800)),4)</f>
        <v>4.7500000000000001E-2</v>
      </c>
      <c r="AF708" s="40">
        <f>ROUND(((Z708+AA708+AB708)),4)</f>
        <v>9.5799999999999996E-2</v>
      </c>
      <c r="AG708" s="254"/>
      <c r="AH708" s="254"/>
    </row>
    <row r="709" spans="1:34" s="61" customFormat="1" ht="15" customHeight="1" x14ac:dyDescent="0.25">
      <c r="A709" s="289"/>
      <c r="B709" s="274" t="s">
        <v>570</v>
      </c>
      <c r="C709" s="274">
        <v>6</v>
      </c>
      <c r="D709" s="38" t="s">
        <v>556</v>
      </c>
      <c r="E709" s="38">
        <v>1</v>
      </c>
      <c r="F709" s="38">
        <v>6</v>
      </c>
      <c r="G709" s="38">
        <v>6</v>
      </c>
      <c r="H709" s="38">
        <v>60</v>
      </c>
      <c r="I709" s="38">
        <f>(8-1-0.75*2)*60*F709-K709-8*0.12*60</f>
        <v>635.4</v>
      </c>
      <c r="J709" s="38">
        <v>14</v>
      </c>
      <c r="K709" s="38">
        <f>(8-1-0.75*2)*0.65*60*F709</f>
        <v>1287</v>
      </c>
      <c r="L709" s="38">
        <v>6.47</v>
      </c>
      <c r="M709" s="38">
        <v>6.47</v>
      </c>
      <c r="N709" s="38">
        <v>10</v>
      </c>
      <c r="O709" s="38">
        <f>E709/F709</f>
        <v>0.16666666666666666</v>
      </c>
      <c r="P709" s="38">
        <v>0</v>
      </c>
      <c r="Q709" s="38">
        <v>30</v>
      </c>
      <c r="R709" s="275">
        <v>60</v>
      </c>
      <c r="S709" s="275">
        <v>1.27</v>
      </c>
      <c r="T709" s="38">
        <f>ROUND((L709*I709+1.3*L709*K709+S709*H709),4)</f>
        <v>15012.195</v>
      </c>
      <c r="U709" s="38">
        <f>ROUND((M709*I709+1.3*M709*K709+S709*H709),4)</f>
        <v>15012.195</v>
      </c>
      <c r="V709" s="38">
        <f>ROUND((M709*I709+1.3*M709*K709+S709*H709),4)</f>
        <v>15012.195</v>
      </c>
      <c r="W709" s="38">
        <f>ROUND((L709*J709+1.3*L709*N709+S709*G709),4)</f>
        <v>182.31</v>
      </c>
      <c r="X709" s="38">
        <f>ROUND((M709*J709+1.3*M709*N709+S709*G709),4)</f>
        <v>182.31</v>
      </c>
      <c r="Y709" s="38">
        <f>ROUND((M709*J709+1.3*M709*N709+S709*G709),4)</f>
        <v>182.31</v>
      </c>
      <c r="Z709" s="276">
        <f>ROUND((P709*T709*F709*O709/1000000),4)</f>
        <v>0</v>
      </c>
      <c r="AA709" s="276">
        <f>ROUND((Q709*U709*F709*O709/1000000),4)</f>
        <v>0.45040000000000002</v>
      </c>
      <c r="AB709" s="276">
        <f>ROUND((R709*V709*F709*O709/1000000),4)</f>
        <v>0.90069999999999995</v>
      </c>
      <c r="AC709" s="277" t="s">
        <v>165</v>
      </c>
      <c r="AD709" s="278" t="s">
        <v>144</v>
      </c>
      <c r="AE709" s="40">
        <f>ROUND((((X709*E709)/1800)*0.8),4)</f>
        <v>8.1000000000000003E-2</v>
      </c>
      <c r="AF709" s="40">
        <f>ROUND(((Z709+AA709+AB709)*0.8),4)</f>
        <v>1.0809</v>
      </c>
      <c r="AG709" s="254"/>
      <c r="AH709" s="254"/>
    </row>
    <row r="710" spans="1:34" s="61" customFormat="1" ht="15" customHeight="1" x14ac:dyDescent="0.25">
      <c r="A710" s="289"/>
      <c r="B710" s="280" t="s">
        <v>571</v>
      </c>
      <c r="C710" s="39"/>
      <c r="D710" s="39"/>
      <c r="E710" s="39"/>
      <c r="F710" s="39"/>
      <c r="G710" s="39"/>
      <c r="H710" s="39"/>
      <c r="I710" s="39"/>
      <c r="J710" s="39"/>
      <c r="K710" s="39"/>
      <c r="L710" s="119"/>
      <c r="M710" s="119"/>
      <c r="N710" s="39"/>
      <c r="O710" s="39"/>
      <c r="P710" s="39"/>
      <c r="Q710" s="39"/>
      <c r="R710" s="39"/>
      <c r="S710" s="281"/>
      <c r="T710" s="39"/>
      <c r="U710" s="39"/>
      <c r="V710" s="39"/>
      <c r="W710" s="39"/>
      <c r="X710" s="39"/>
      <c r="Y710" s="39"/>
      <c r="Z710" s="39"/>
      <c r="AA710" s="39"/>
      <c r="AB710" s="39"/>
      <c r="AC710" s="277" t="s">
        <v>166</v>
      </c>
      <c r="AD710" s="278" t="s">
        <v>167</v>
      </c>
      <c r="AE710" s="40">
        <f>ROUND((((X709*E709)/1800)*0.13),4)</f>
        <v>1.32E-2</v>
      </c>
      <c r="AF710" s="40">
        <f>ROUND(((Z709+AA709+AB709)*0.13),4)</f>
        <v>0.17560000000000001</v>
      </c>
      <c r="AG710" s="254"/>
      <c r="AH710" s="254"/>
    </row>
    <row r="711" spans="1:34" s="61" customFormat="1" ht="15" customHeight="1" x14ac:dyDescent="0.25">
      <c r="A711" s="289"/>
      <c r="B711" s="287"/>
      <c r="C711" s="283"/>
      <c r="D711" s="283"/>
      <c r="E711" s="39"/>
      <c r="F711" s="39"/>
      <c r="G711" s="39"/>
      <c r="H711" s="39"/>
      <c r="I711" s="39"/>
      <c r="J711" s="39"/>
      <c r="K711" s="39"/>
      <c r="L711" s="40">
        <v>0.51</v>
      </c>
      <c r="M711" s="40">
        <v>0.63</v>
      </c>
      <c r="N711" s="39"/>
      <c r="O711" s="39"/>
      <c r="P711" s="39"/>
      <c r="Q711" s="39"/>
      <c r="R711" s="39"/>
      <c r="S711" s="284">
        <v>0.25</v>
      </c>
      <c r="T711" s="38">
        <f>ROUND((L711*I709+1.3*L711*K709+S711*H709),4)</f>
        <v>1192.335</v>
      </c>
      <c r="U711" s="38">
        <f>ROUND((M711*0.9*I709+1.3*M711*0.9*K709+S711*H709),4)</f>
        <v>1323.9195</v>
      </c>
      <c r="V711" s="38">
        <f>ROUND((M711*I709+1.3*M711*K709+S711*H709),4)</f>
        <v>1469.355</v>
      </c>
      <c r="W711" s="38">
        <f>ROUND((L711*J709+1.3*L711*N709+S711*G709),4)</f>
        <v>15.27</v>
      </c>
      <c r="X711" s="38">
        <f>ROUND((M711*0.9*J709+1.3*M711*0.9*N709+S711*G709),4)</f>
        <v>16.809000000000001</v>
      </c>
      <c r="Y711" s="38">
        <f>ROUND((M711*J709+1.3*M711*N709+S711*G709),4)</f>
        <v>18.510000000000002</v>
      </c>
      <c r="Z711" s="276">
        <f>ROUND((P709*T711*F709*O709/1000000),4)</f>
        <v>0</v>
      </c>
      <c r="AA711" s="276">
        <f>ROUND((Q709*U711*F709*O709/1000000),4)</f>
        <v>3.9699999999999999E-2</v>
      </c>
      <c r="AB711" s="276">
        <f>ROUND((R709*V711*F709*O709/1000000),4)</f>
        <v>8.8200000000000001E-2</v>
      </c>
      <c r="AC711" s="277" t="s">
        <v>547</v>
      </c>
      <c r="AD711" s="278" t="s">
        <v>169</v>
      </c>
      <c r="AE711" s="40">
        <f>ROUND((((X711*E709)/1800)),4)</f>
        <v>9.2999999999999992E-3</v>
      </c>
      <c r="AF711" s="40">
        <f>ROUND(((Z711+AA711+AB711)),5)</f>
        <v>0.12790000000000001</v>
      </c>
      <c r="AG711" s="254"/>
      <c r="AH711" s="254"/>
    </row>
    <row r="712" spans="1:34" s="61" customFormat="1" ht="15" customHeight="1" x14ac:dyDescent="0.25">
      <c r="A712" s="289"/>
      <c r="B712" s="280"/>
      <c r="C712" s="39"/>
      <c r="D712" s="39"/>
      <c r="E712" s="39"/>
      <c r="F712" s="39"/>
      <c r="G712" s="39"/>
      <c r="H712" s="39"/>
      <c r="I712" s="39"/>
      <c r="J712" s="39"/>
      <c r="K712" s="39"/>
      <c r="L712" s="40">
        <v>1.1399999999999999</v>
      </c>
      <c r="M712" s="40">
        <v>1.37</v>
      </c>
      <c r="N712" s="39"/>
      <c r="O712" s="39"/>
      <c r="P712" s="39"/>
      <c r="Q712" s="39"/>
      <c r="R712" s="39"/>
      <c r="S712" s="285">
        <v>0.79</v>
      </c>
      <c r="T712" s="38">
        <f>ROUND((L712*I709+1.3*L712*K709+S712*H709),4)</f>
        <v>2679.09</v>
      </c>
      <c r="U712" s="38">
        <f>ROUND((M712*0.9*I709+1.3*M712*0.9*K709+S712*H709),4)</f>
        <v>2893.7804999999998</v>
      </c>
      <c r="V712" s="38">
        <f>ROUND((M712*I709+1.3*M712*K709+S712*H709),4)</f>
        <v>3210.0450000000001</v>
      </c>
      <c r="W712" s="38">
        <f>ROUND((L712*J709+1.3*L712*N709+S712*G709),4)</f>
        <v>35.520000000000003</v>
      </c>
      <c r="X712" s="38">
        <f>ROUND((M712*0.9*J709+1.3*M712*0.9*N709+S712*G709),4)</f>
        <v>38.030999999999999</v>
      </c>
      <c r="Y712" s="38">
        <f>ROUND((M712*J709+1.3*N709+S712*G709),4)</f>
        <v>36.92</v>
      </c>
      <c r="Z712" s="276">
        <f>ROUND((P709*T712*F709*O709/1000000),4)</f>
        <v>0</v>
      </c>
      <c r="AA712" s="276">
        <f>ROUND((Q709*U712*F709*O709/1000000),4)</f>
        <v>8.6800000000000002E-2</v>
      </c>
      <c r="AB712" s="276">
        <f>ROUND((R709*V712*F709*O709/1000000),4)</f>
        <v>0.19259999999999999</v>
      </c>
      <c r="AC712" s="277" t="s">
        <v>548</v>
      </c>
      <c r="AD712" s="278" t="s">
        <v>549</v>
      </c>
      <c r="AE712" s="40">
        <f>ROUND((((X712*E709)/1800)),4)</f>
        <v>2.1100000000000001E-2</v>
      </c>
      <c r="AF712" s="40">
        <f>ROUND(((Z712+AA712+AB712)),4)</f>
        <v>0.27939999999999998</v>
      </c>
      <c r="AG712" s="254"/>
      <c r="AH712" s="254"/>
    </row>
    <row r="713" spans="1:34" s="61" customFormat="1" ht="15" customHeight="1" x14ac:dyDescent="0.25">
      <c r="A713" s="289"/>
      <c r="B713" s="280"/>
      <c r="C713" s="39"/>
      <c r="D713" s="39"/>
      <c r="E713" s="39"/>
      <c r="F713" s="39"/>
      <c r="G713" s="39"/>
      <c r="H713" s="39"/>
      <c r="I713" s="39"/>
      <c r="J713" s="39"/>
      <c r="K713" s="39"/>
      <c r="L713" s="40">
        <v>0.72</v>
      </c>
      <c r="M713" s="40">
        <v>1.08</v>
      </c>
      <c r="N713" s="39"/>
      <c r="O713" s="39"/>
      <c r="P713" s="39"/>
      <c r="Q713" s="39"/>
      <c r="R713" s="39"/>
      <c r="S713" s="285">
        <v>0.17</v>
      </c>
      <c r="T713" s="38">
        <f>ROUND((L713*I709+1.3*L713*K709+S713*H709),4)</f>
        <v>1672.32</v>
      </c>
      <c r="U713" s="38">
        <f>ROUND((M713*0.9*I709+1.3*M713*0.9*K709+S713*H709),4)</f>
        <v>2254.0619999999999</v>
      </c>
      <c r="V713" s="38">
        <f>ROUND((M713*I709+1.3*M713*K709+S713*H709),4)</f>
        <v>2503.38</v>
      </c>
      <c r="W713" s="38">
        <f>ROUND((L713*J709+1.3*L713*N709+S713*G709),4)</f>
        <v>20.46</v>
      </c>
      <c r="X713" s="38">
        <f>ROUND((M713*0.9*J709+1.3*M713*0.9*N709+S713*G709),4)</f>
        <v>27.263999999999999</v>
      </c>
      <c r="Y713" s="38">
        <f>ROUND((M713*J709+1.3*M713*N709+S713*G709),4)</f>
        <v>30.18</v>
      </c>
      <c r="Z713" s="276">
        <f>ROUND((P709*T713*F709*O709/1000000),4)</f>
        <v>0</v>
      </c>
      <c r="AA713" s="276">
        <f>ROUND((Q709*U713*F709*O709/1000000),4)</f>
        <v>6.7599999999999993E-2</v>
      </c>
      <c r="AB713" s="276">
        <f>ROUND((R709*V713*F709*O709/1000000),4)</f>
        <v>0.1502</v>
      </c>
      <c r="AC713" s="277" t="s">
        <v>172</v>
      </c>
      <c r="AD713" s="278" t="s">
        <v>173</v>
      </c>
      <c r="AE713" s="40">
        <f>ROUND((((X713*E709)/1800)),4)</f>
        <v>1.5100000000000001E-2</v>
      </c>
      <c r="AF713" s="40">
        <f>ROUND(((Z713+AA713+AB713)),4)</f>
        <v>0.21779999999999999</v>
      </c>
      <c r="AG713" s="254"/>
      <c r="AH713" s="254"/>
    </row>
    <row r="714" spans="1:34" s="61" customFormat="1" ht="15" customHeight="1" x14ac:dyDescent="0.25">
      <c r="A714" s="289"/>
      <c r="B714" s="286"/>
      <c r="C714" s="119"/>
      <c r="D714" s="119"/>
      <c r="E714" s="119"/>
      <c r="F714" s="119"/>
      <c r="G714" s="119"/>
      <c r="H714" s="119"/>
      <c r="I714" s="119"/>
      <c r="J714" s="119"/>
      <c r="K714" s="119"/>
      <c r="L714" s="40">
        <v>3.37</v>
      </c>
      <c r="M714" s="40">
        <v>4.1100000000000003</v>
      </c>
      <c r="N714" s="119"/>
      <c r="O714" s="119"/>
      <c r="P714" s="119"/>
      <c r="Q714" s="119"/>
      <c r="R714" s="119"/>
      <c r="S714" s="285">
        <v>6.31</v>
      </c>
      <c r="T714" s="38">
        <f>ROUND((L714*I709+1.3*L714*K709+S714*H709),4)</f>
        <v>8158.2449999999999</v>
      </c>
      <c r="U714" s="38">
        <f>ROUND((M714*0.9*I709+1.3*M714*0.9*K709+S714*H709),4)</f>
        <v>8917.7415000000001</v>
      </c>
      <c r="V714" s="38">
        <f>ROUND((M714*I709+1.3*M714*K709+S714*H709),4)</f>
        <v>9866.5349999999999</v>
      </c>
      <c r="W714" s="38">
        <f>ROUND((L714*J709+1.3*L714*N709+S714*G709),4)</f>
        <v>128.85</v>
      </c>
      <c r="X714" s="38">
        <f>ROUND((M714*0.9*J709+1.3*M714*0.9*N709+S714*G709),4)</f>
        <v>137.733</v>
      </c>
      <c r="Y714" s="38">
        <f>ROUND((M714*J709+1.3*M714*N709+S714*G709),4)</f>
        <v>148.83000000000001</v>
      </c>
      <c r="Z714" s="276">
        <f>ROUND((P709*T714*F709*O709/1000000),4)</f>
        <v>0</v>
      </c>
      <c r="AA714" s="276">
        <f>ROUND((Q709*U714*F709*O709/1000000),4)</f>
        <v>0.26750000000000002</v>
      </c>
      <c r="AB714" s="276">
        <f>ROUND((R709*V714*F709*O709/1000000),4)</f>
        <v>0.59199999999999997</v>
      </c>
      <c r="AC714" s="277" t="s">
        <v>157</v>
      </c>
      <c r="AD714" s="278" t="s">
        <v>153</v>
      </c>
      <c r="AE714" s="40">
        <f>ROUND((((X714*E709)/1800)),4)</f>
        <v>7.6499999999999999E-2</v>
      </c>
      <c r="AF714" s="40">
        <f>ROUND(((Z714+AA714+AB714)),4)</f>
        <v>0.85950000000000004</v>
      </c>
      <c r="AG714" s="254"/>
      <c r="AH714" s="254"/>
    </row>
    <row r="715" spans="1:34" s="61" customFormat="1" ht="15" customHeight="1" x14ac:dyDescent="0.25">
      <c r="A715" s="289"/>
      <c r="B715" s="274" t="s">
        <v>572</v>
      </c>
      <c r="C715" s="274">
        <v>6</v>
      </c>
      <c r="D715" s="38" t="s">
        <v>556</v>
      </c>
      <c r="E715" s="38">
        <v>1</v>
      </c>
      <c r="F715" s="38">
        <v>6</v>
      </c>
      <c r="G715" s="38">
        <v>6</v>
      </c>
      <c r="H715" s="38">
        <v>60</v>
      </c>
      <c r="I715" s="38">
        <f>(8-1-0.75*2)*60*F715-K715-8*0.12*60</f>
        <v>635.4</v>
      </c>
      <c r="J715" s="38">
        <v>14</v>
      </c>
      <c r="K715" s="38">
        <f>(8-1-0.75*2)*0.65*60*F715</f>
        <v>1287</v>
      </c>
      <c r="L715" s="38">
        <v>6.47</v>
      </c>
      <c r="M715" s="38">
        <v>6.47</v>
      </c>
      <c r="N715" s="38">
        <v>10</v>
      </c>
      <c r="O715" s="38">
        <f>E715/F715</f>
        <v>0.16666666666666666</v>
      </c>
      <c r="P715" s="38">
        <v>0</v>
      </c>
      <c r="Q715" s="38">
        <v>30</v>
      </c>
      <c r="R715" s="275">
        <v>60</v>
      </c>
      <c r="S715" s="275">
        <v>1.27</v>
      </c>
      <c r="T715" s="38">
        <f>ROUND((L715*I715+1.3*L715*K715+S715*H715),4)</f>
        <v>15012.195</v>
      </c>
      <c r="U715" s="38">
        <f>ROUND((M715*I715+1.3*M715*K715+S715*H715),4)</f>
        <v>15012.195</v>
      </c>
      <c r="V715" s="38">
        <f>ROUND((M715*I715+1.3*M715*K715+S715*H715),4)</f>
        <v>15012.195</v>
      </c>
      <c r="W715" s="38">
        <f>ROUND((L715*J715+1.3*L715*N715+S715*G715),4)</f>
        <v>182.31</v>
      </c>
      <c r="X715" s="38">
        <f>ROUND((M715*J715+1.3*M715*N715+S715*G715),4)</f>
        <v>182.31</v>
      </c>
      <c r="Y715" s="38">
        <f>ROUND((M715*J715+1.3*M715*N715+S715*G715),4)</f>
        <v>182.31</v>
      </c>
      <c r="Z715" s="276">
        <f>ROUND((P715*T715*F715*O715/1000000),4)</f>
        <v>0</v>
      </c>
      <c r="AA715" s="276">
        <f>ROUND((Q715*U715*F715*O715/1000000),4)</f>
        <v>0.45040000000000002</v>
      </c>
      <c r="AB715" s="276">
        <f>ROUND((R715*V715*F715*O715/1000000),4)</f>
        <v>0.90069999999999995</v>
      </c>
      <c r="AC715" s="277" t="s">
        <v>165</v>
      </c>
      <c r="AD715" s="278" t="s">
        <v>144</v>
      </c>
      <c r="AE715" s="40">
        <f>ROUND((((X715*E715)/1800)*0.8),4)</f>
        <v>8.1000000000000003E-2</v>
      </c>
      <c r="AF715" s="40">
        <f>ROUND(((Z715+AA715+AB715)*0.8),4)</f>
        <v>1.0809</v>
      </c>
      <c r="AG715" s="288"/>
      <c r="AH715" s="254"/>
    </row>
    <row r="716" spans="1:34" s="61" customFormat="1" ht="15" customHeight="1" x14ac:dyDescent="0.25">
      <c r="A716" s="289"/>
      <c r="B716" s="280" t="s">
        <v>573</v>
      </c>
      <c r="C716" s="39"/>
      <c r="D716" s="39"/>
      <c r="E716" s="39"/>
      <c r="F716" s="39"/>
      <c r="G716" s="39"/>
      <c r="H716" s="39"/>
      <c r="I716" s="39"/>
      <c r="J716" s="39"/>
      <c r="K716" s="39"/>
      <c r="L716" s="119"/>
      <c r="M716" s="119"/>
      <c r="N716" s="39"/>
      <c r="O716" s="39"/>
      <c r="P716" s="39"/>
      <c r="Q716" s="39"/>
      <c r="R716" s="39"/>
      <c r="S716" s="281"/>
      <c r="T716" s="39"/>
      <c r="U716" s="39"/>
      <c r="V716" s="39"/>
      <c r="W716" s="39"/>
      <c r="X716" s="39"/>
      <c r="Y716" s="39"/>
      <c r="Z716" s="39"/>
      <c r="AA716" s="39"/>
      <c r="AB716" s="39"/>
      <c r="AC716" s="277" t="s">
        <v>166</v>
      </c>
      <c r="AD716" s="278" t="s">
        <v>167</v>
      </c>
      <c r="AE716" s="40">
        <f>ROUND((((X715*E715)/1800)*0.13),4)</f>
        <v>1.32E-2</v>
      </c>
      <c r="AF716" s="40">
        <f>ROUND(((Z715+AA715+AB715)*0.13),4)</f>
        <v>0.17560000000000001</v>
      </c>
      <c r="AG716" s="288"/>
      <c r="AH716" s="254"/>
    </row>
    <row r="717" spans="1:34" s="61" customFormat="1" ht="15" customHeight="1" x14ac:dyDescent="0.25">
      <c r="A717" s="289"/>
      <c r="B717" s="287"/>
      <c r="C717" s="283"/>
      <c r="D717" s="283"/>
      <c r="E717" s="39"/>
      <c r="F717" s="39"/>
      <c r="G717" s="39"/>
      <c r="H717" s="39"/>
      <c r="I717" s="39"/>
      <c r="J717" s="39"/>
      <c r="K717" s="39"/>
      <c r="L717" s="40">
        <v>0.51</v>
      </c>
      <c r="M717" s="40">
        <v>0.63</v>
      </c>
      <c r="N717" s="39"/>
      <c r="O717" s="39"/>
      <c r="P717" s="39"/>
      <c r="Q717" s="39"/>
      <c r="R717" s="39"/>
      <c r="S717" s="284">
        <v>0.25</v>
      </c>
      <c r="T717" s="38">
        <f>ROUND((L717*I715+1.3*L717*K715+S717*H715),4)</f>
        <v>1192.335</v>
      </c>
      <c r="U717" s="38">
        <f>ROUND((M717*0.9*I715+1.3*M717*0.9*K715+S717*H715),4)</f>
        <v>1323.9195</v>
      </c>
      <c r="V717" s="38">
        <f>ROUND((M717*I715+1.3*M717*K715+S717*H715),4)</f>
        <v>1469.355</v>
      </c>
      <c r="W717" s="38">
        <f>ROUND((L717*J715+1.3*L717*N715+S717*G715),4)</f>
        <v>15.27</v>
      </c>
      <c r="X717" s="38">
        <f>ROUND((M717*0.9*J715+1.3*M717*0.9*N715+S717*G715),4)</f>
        <v>16.809000000000001</v>
      </c>
      <c r="Y717" s="38">
        <f>ROUND((M717*J715+1.3*M717*N715+S717*G715),4)</f>
        <v>18.510000000000002</v>
      </c>
      <c r="Z717" s="276">
        <f>ROUND((P715*T717*F715*O715/1000000),4)</f>
        <v>0</v>
      </c>
      <c r="AA717" s="276">
        <f>ROUND((Q715*U717*F715*O715/1000000),4)</f>
        <v>3.9699999999999999E-2</v>
      </c>
      <c r="AB717" s="276">
        <f>ROUND((R715*V717*F715*O715/1000000),4)</f>
        <v>8.8200000000000001E-2</v>
      </c>
      <c r="AC717" s="277" t="s">
        <v>547</v>
      </c>
      <c r="AD717" s="278" t="s">
        <v>169</v>
      </c>
      <c r="AE717" s="40">
        <f>ROUND((((X717*E715)/1800)),4)</f>
        <v>9.2999999999999992E-3</v>
      </c>
      <c r="AF717" s="40">
        <f>ROUND(((Z717+AA717+AB717)),5)</f>
        <v>0.12790000000000001</v>
      </c>
      <c r="AG717" s="288"/>
      <c r="AH717" s="254"/>
    </row>
    <row r="718" spans="1:34" s="61" customFormat="1" ht="15" customHeight="1" x14ac:dyDescent="0.25">
      <c r="A718" s="289"/>
      <c r="B718" s="280"/>
      <c r="C718" s="39"/>
      <c r="D718" s="39"/>
      <c r="E718" s="39"/>
      <c r="F718" s="39"/>
      <c r="G718" s="39"/>
      <c r="H718" s="39"/>
      <c r="I718" s="39"/>
      <c r="J718" s="39"/>
      <c r="K718" s="39"/>
      <c r="L718" s="40">
        <v>1.1399999999999999</v>
      </c>
      <c r="M718" s="40">
        <v>1.37</v>
      </c>
      <c r="N718" s="39"/>
      <c r="O718" s="39"/>
      <c r="P718" s="39"/>
      <c r="Q718" s="39"/>
      <c r="R718" s="39"/>
      <c r="S718" s="285">
        <v>0.79</v>
      </c>
      <c r="T718" s="38">
        <f>ROUND((L718*I715+1.3*L718*K715+S718*H715),4)</f>
        <v>2679.09</v>
      </c>
      <c r="U718" s="38">
        <f>ROUND((M718*0.9*I715+1.3*M718*0.9*K715+S718*H715),4)</f>
        <v>2893.7804999999998</v>
      </c>
      <c r="V718" s="38">
        <f>ROUND((M718*I715+1.3*M718*K715+S718*H715),4)</f>
        <v>3210.0450000000001</v>
      </c>
      <c r="W718" s="38">
        <f>ROUND((L718*J715+1.3*L718*N715+S718*G715),4)</f>
        <v>35.520000000000003</v>
      </c>
      <c r="X718" s="38">
        <f>ROUND((M718*0.9*J715+1.3*M718*0.9*N715+S718*G715),4)</f>
        <v>38.030999999999999</v>
      </c>
      <c r="Y718" s="38">
        <f>ROUND((M718*J715+1.3*N715+S718*G715),4)</f>
        <v>36.92</v>
      </c>
      <c r="Z718" s="276">
        <f>ROUND((P715*T718*F715*O715/1000000),4)</f>
        <v>0</v>
      </c>
      <c r="AA718" s="276">
        <f>ROUND((Q715*U718*F715*O715/1000000),4)</f>
        <v>8.6800000000000002E-2</v>
      </c>
      <c r="AB718" s="276">
        <f>ROUND((R715*V718*F715*O715/1000000),4)</f>
        <v>0.19259999999999999</v>
      </c>
      <c r="AC718" s="277" t="s">
        <v>548</v>
      </c>
      <c r="AD718" s="278" t="s">
        <v>549</v>
      </c>
      <c r="AE718" s="40">
        <f>ROUND((((X718*E715)/1800)),4)</f>
        <v>2.1100000000000001E-2</v>
      </c>
      <c r="AF718" s="40">
        <f>ROUND(((Z718+AA718+AB718)),4)</f>
        <v>0.27939999999999998</v>
      </c>
      <c r="AG718" s="288"/>
      <c r="AH718" s="254"/>
    </row>
    <row r="719" spans="1:34" s="61" customFormat="1" ht="15" customHeight="1" x14ac:dyDescent="0.25">
      <c r="A719" s="289"/>
      <c r="B719" s="280"/>
      <c r="C719" s="39"/>
      <c r="D719" s="39"/>
      <c r="E719" s="39"/>
      <c r="F719" s="39"/>
      <c r="G719" s="39"/>
      <c r="H719" s="39"/>
      <c r="I719" s="39"/>
      <c r="J719" s="39"/>
      <c r="K719" s="39"/>
      <c r="L719" s="40">
        <v>0.72</v>
      </c>
      <c r="M719" s="40">
        <v>1.08</v>
      </c>
      <c r="N719" s="39"/>
      <c r="O719" s="39"/>
      <c r="P719" s="39"/>
      <c r="Q719" s="39"/>
      <c r="R719" s="39"/>
      <c r="S719" s="285">
        <v>0.17</v>
      </c>
      <c r="T719" s="38">
        <f>ROUND((L719*I715+1.3*L719*K715+S719*H715),4)</f>
        <v>1672.32</v>
      </c>
      <c r="U719" s="38">
        <f>ROUND((M719*0.9*I715+1.3*M719*0.9*K715+S719*H715),4)</f>
        <v>2254.0619999999999</v>
      </c>
      <c r="V719" s="38">
        <f>ROUND((M719*I715+1.3*M719*K715+S719*H715),4)</f>
        <v>2503.38</v>
      </c>
      <c r="W719" s="38">
        <f>ROUND((L719*J715+1.3*L719*N715+S719*G715),4)</f>
        <v>20.46</v>
      </c>
      <c r="X719" s="38">
        <f>ROUND((M719*0.9*J715+1.3*M719*0.9*N715+S719*G715),4)</f>
        <v>27.263999999999999</v>
      </c>
      <c r="Y719" s="38">
        <f>ROUND((M719*J715+1.3*M719*N715+S719*G715),4)</f>
        <v>30.18</v>
      </c>
      <c r="Z719" s="276">
        <f>ROUND((P715*T719*F715*O715/1000000),4)</f>
        <v>0</v>
      </c>
      <c r="AA719" s="276">
        <f>ROUND((Q715*U719*F715*O715/1000000),4)</f>
        <v>6.7599999999999993E-2</v>
      </c>
      <c r="AB719" s="276">
        <f>ROUND((R715*V719*F715*O715/1000000),4)</f>
        <v>0.1502</v>
      </c>
      <c r="AC719" s="277" t="s">
        <v>172</v>
      </c>
      <c r="AD719" s="278" t="s">
        <v>173</v>
      </c>
      <c r="AE719" s="40">
        <f>ROUND((((X719*E715)/1800)),4)</f>
        <v>1.5100000000000001E-2</v>
      </c>
      <c r="AF719" s="40">
        <f>ROUND(((Z719+AA719+AB719)),4)</f>
        <v>0.21779999999999999</v>
      </c>
      <c r="AG719" s="288"/>
      <c r="AH719" s="254"/>
    </row>
    <row r="720" spans="1:34" s="61" customFormat="1" ht="15" customHeight="1" x14ac:dyDescent="0.25">
      <c r="A720" s="289"/>
      <c r="B720" s="286"/>
      <c r="C720" s="119"/>
      <c r="D720" s="119"/>
      <c r="E720" s="119"/>
      <c r="F720" s="119"/>
      <c r="G720" s="119"/>
      <c r="H720" s="119"/>
      <c r="I720" s="119"/>
      <c r="J720" s="119"/>
      <c r="K720" s="119"/>
      <c r="L720" s="40">
        <v>3.37</v>
      </c>
      <c r="M720" s="40">
        <v>4.1100000000000003</v>
      </c>
      <c r="N720" s="119"/>
      <c r="O720" s="119"/>
      <c r="P720" s="119"/>
      <c r="Q720" s="119"/>
      <c r="R720" s="119"/>
      <c r="S720" s="285">
        <v>6.31</v>
      </c>
      <c r="T720" s="38">
        <f>ROUND((L720*I715+1.3*L720*K715+S720*H715),4)</f>
        <v>8158.2449999999999</v>
      </c>
      <c r="U720" s="38">
        <f>ROUND((M720*0.9*I715+1.3*M720*0.9*K715+S720*H715),4)</f>
        <v>8917.7415000000001</v>
      </c>
      <c r="V720" s="38">
        <f>ROUND((M720*I715+1.3*M720*K715+S720*H715),4)</f>
        <v>9866.5349999999999</v>
      </c>
      <c r="W720" s="38">
        <f>ROUND((L720*J715+1.3*L720*N715+S720*G715),4)</f>
        <v>128.85</v>
      </c>
      <c r="X720" s="38">
        <f>ROUND((M720*0.9*J715+1.3*M720*0.9*N715+S720*G715),4)</f>
        <v>137.733</v>
      </c>
      <c r="Y720" s="38">
        <f>ROUND((M720*J715+1.3*M720*N715+S720*G715),4)</f>
        <v>148.83000000000001</v>
      </c>
      <c r="Z720" s="276">
        <f>ROUND((P715*T720*F715*O715/1000000),4)</f>
        <v>0</v>
      </c>
      <c r="AA720" s="276">
        <f>ROUND((Q715*U720*F715*O715/1000000),4)</f>
        <v>0.26750000000000002</v>
      </c>
      <c r="AB720" s="276">
        <f>ROUND((R715*V720*F715*O715/1000000),4)</f>
        <v>0.59199999999999997</v>
      </c>
      <c r="AC720" s="277" t="s">
        <v>157</v>
      </c>
      <c r="AD720" s="278" t="s">
        <v>153</v>
      </c>
      <c r="AE720" s="40">
        <f>ROUND((((X720*E715)/1800)),4)</f>
        <v>7.6499999999999999E-2</v>
      </c>
      <c r="AF720" s="40">
        <f>ROUND(((Z720+AA720+AB720)),4)</f>
        <v>0.85950000000000004</v>
      </c>
      <c r="AG720" s="288"/>
      <c r="AH720" s="254"/>
    </row>
    <row r="721" spans="1:36" s="61" customFormat="1" ht="15" customHeight="1" x14ac:dyDescent="0.25">
      <c r="A721" s="260"/>
      <c r="B721" s="1478" t="s">
        <v>574</v>
      </c>
      <c r="C721" s="274">
        <v>5</v>
      </c>
      <c r="D721" s="38" t="s">
        <v>552</v>
      </c>
      <c r="E721" s="38">
        <v>1</v>
      </c>
      <c r="F721" s="38">
        <v>1</v>
      </c>
      <c r="G721" s="38">
        <v>6</v>
      </c>
      <c r="H721" s="38">
        <v>60</v>
      </c>
      <c r="I721" s="38">
        <f>(8-1-0.75*2)*60*F721-K721-8*0.12*60</f>
        <v>57.900000000000006</v>
      </c>
      <c r="J721" s="38">
        <v>14</v>
      </c>
      <c r="K721" s="38">
        <f>(8-1-0.75*2)*0.65*60*F721</f>
        <v>214.5</v>
      </c>
      <c r="L721" s="38">
        <v>4.01</v>
      </c>
      <c r="M721" s="38">
        <v>4.01</v>
      </c>
      <c r="N721" s="38">
        <v>10</v>
      </c>
      <c r="O721" s="38">
        <f>E721/F721</f>
        <v>1</v>
      </c>
      <c r="P721" s="38">
        <v>0</v>
      </c>
      <c r="Q721" s="38">
        <v>30</v>
      </c>
      <c r="R721" s="275">
        <v>60</v>
      </c>
      <c r="S721" s="275">
        <v>0.78</v>
      </c>
      <c r="T721" s="38">
        <f>ROUND((L721*I721+1.3*L721*K721+S721*H721),4)</f>
        <v>1397.1675</v>
      </c>
      <c r="U721" s="38">
        <f>ROUND((M721*I721+1.3*M721*K721+S721*H721),4)</f>
        <v>1397.1675</v>
      </c>
      <c r="V721" s="38">
        <f>ROUND((M721*I721+1.3*M721*K721+S721*H721),4)</f>
        <v>1397.1675</v>
      </c>
      <c r="W721" s="38">
        <f>ROUND((L721*J721+1.3*L721*N721+S721*G721),4)</f>
        <v>112.95</v>
      </c>
      <c r="X721" s="38">
        <f>ROUND((M721*J721+1.3*M721*N721+S721*G721),4)</f>
        <v>112.95</v>
      </c>
      <c r="Y721" s="38">
        <f>ROUND((M721*J721+1.3*M721*N721+S721*G721),4)</f>
        <v>112.95</v>
      </c>
      <c r="Z721" s="276">
        <f>ROUND((P721*T721*F721*O721/1000000),4)</f>
        <v>0</v>
      </c>
      <c r="AA721" s="276">
        <f>ROUND((Q721*U721*F721*O721/1000000),4)</f>
        <v>4.19E-2</v>
      </c>
      <c r="AB721" s="276">
        <f>ROUND((R721*V721*F721*O721/1000000),4)</f>
        <v>8.3799999999999999E-2</v>
      </c>
      <c r="AC721" s="277" t="s">
        <v>165</v>
      </c>
      <c r="AD721" s="278" t="s">
        <v>144</v>
      </c>
      <c r="AE721" s="40">
        <f>ROUND((((X721*E721)/1800)*0.8),4)</f>
        <v>5.0200000000000002E-2</v>
      </c>
      <c r="AF721" s="40">
        <f>ROUND(((Z721+AA721+AB721)*0.8),4)</f>
        <v>0.10059999999999999</v>
      </c>
      <c r="AG721" s="288"/>
      <c r="AH721" s="288"/>
      <c r="AI721" s="288"/>
      <c r="AJ721" s="288"/>
    </row>
    <row r="722" spans="1:36" s="61" customFormat="1" ht="15" customHeight="1" x14ac:dyDescent="0.25">
      <c r="A722" s="260"/>
      <c r="B722" s="1634"/>
      <c r="C722" s="280"/>
      <c r="D722" s="39"/>
      <c r="E722" s="39"/>
      <c r="F722" s="39"/>
      <c r="G722" s="39"/>
      <c r="H722" s="39"/>
      <c r="I722" s="39"/>
      <c r="J722" s="39"/>
      <c r="K722" s="39"/>
      <c r="L722" s="119"/>
      <c r="M722" s="119"/>
      <c r="N722" s="39"/>
      <c r="O722" s="39"/>
      <c r="P722" s="39"/>
      <c r="Q722" s="39"/>
      <c r="R722" s="39"/>
      <c r="S722" s="281"/>
      <c r="T722" s="39"/>
      <c r="U722" s="39"/>
      <c r="V722" s="39"/>
      <c r="W722" s="39"/>
      <c r="X722" s="39"/>
      <c r="Y722" s="39"/>
      <c r="Z722" s="39"/>
      <c r="AA722" s="39"/>
      <c r="AB722" s="39"/>
      <c r="AC722" s="277" t="s">
        <v>166</v>
      </c>
      <c r="AD722" s="278" t="s">
        <v>167</v>
      </c>
      <c r="AE722" s="40">
        <f>ROUND((((X721*E721)/1800)*0.13),4)</f>
        <v>8.2000000000000007E-3</v>
      </c>
      <c r="AF722" s="40">
        <f>ROUND(((Z721+AA721+AB721)*0.13),4)</f>
        <v>1.6299999999999999E-2</v>
      </c>
      <c r="AG722" s="288"/>
      <c r="AH722" s="288"/>
      <c r="AI722" s="288"/>
      <c r="AJ722" s="288"/>
    </row>
    <row r="723" spans="1:36" s="61" customFormat="1" ht="15" customHeight="1" x14ac:dyDescent="0.25">
      <c r="A723" s="260"/>
      <c r="B723" s="279" t="s">
        <v>575</v>
      </c>
      <c r="C723" s="282"/>
      <c r="D723" s="283"/>
      <c r="E723" s="39"/>
      <c r="F723" s="39"/>
      <c r="G723" s="39"/>
      <c r="H723" s="39"/>
      <c r="I723" s="39"/>
      <c r="J723" s="39"/>
      <c r="K723" s="39"/>
      <c r="L723" s="40">
        <v>0.31</v>
      </c>
      <c r="M723" s="40">
        <v>0.38</v>
      </c>
      <c r="N723" s="39"/>
      <c r="O723" s="39"/>
      <c r="P723" s="39"/>
      <c r="Q723" s="39"/>
      <c r="R723" s="39"/>
      <c r="S723" s="284">
        <v>0.16</v>
      </c>
      <c r="T723" s="38">
        <f>ROUND((L723*I721+1.3*L723*K721+S723*H721),4)</f>
        <v>113.99250000000001</v>
      </c>
      <c r="U723" s="38">
        <f>ROUND((M723*0.9*I721+1.3*M723*0.9*K721+S723*H721),4)</f>
        <v>124.7685</v>
      </c>
      <c r="V723" s="38">
        <f>ROUND((M723*I721+1.3*M723*K721+S723*H721),4)</f>
        <v>137.565</v>
      </c>
      <c r="W723" s="38">
        <f>ROUND((L723*J721+1.3*L723*N721+S723*G721),4)</f>
        <v>9.33</v>
      </c>
      <c r="X723" s="38">
        <f>ROUND((M723*0.9*J721+1.3*M723*0.9*N721+S723*G721),4)</f>
        <v>10.194000000000001</v>
      </c>
      <c r="Y723" s="38">
        <f>ROUND((M723*J721+1.3*M723*N721+S723*G721),4)</f>
        <v>11.22</v>
      </c>
      <c r="Z723" s="276">
        <f>ROUND((P721*T723*F721*O721/1000000),4)</f>
        <v>0</v>
      </c>
      <c r="AA723" s="276">
        <f>ROUND((Q721*U723*F721*O721/1000000),4)</f>
        <v>3.7000000000000002E-3</v>
      </c>
      <c r="AB723" s="276">
        <f>ROUND((R721*V723*F721*O721/1000000),4)</f>
        <v>8.3000000000000001E-3</v>
      </c>
      <c r="AC723" s="277" t="s">
        <v>547</v>
      </c>
      <c r="AD723" s="278" t="s">
        <v>169</v>
      </c>
      <c r="AE723" s="40">
        <f>ROUND((((X723*E721)/1800)),4)</f>
        <v>5.7000000000000002E-3</v>
      </c>
      <c r="AF723" s="40">
        <f>ROUND(((Z723+AA723+AB723)),5)</f>
        <v>1.2E-2</v>
      </c>
      <c r="AG723" s="288"/>
      <c r="AH723" s="288"/>
      <c r="AI723" s="288"/>
      <c r="AJ723" s="288"/>
    </row>
    <row r="724" spans="1:36" s="61" customFormat="1" ht="15" customHeight="1" x14ac:dyDescent="0.25">
      <c r="A724" s="260"/>
      <c r="B724" s="280"/>
      <c r="C724" s="280"/>
      <c r="D724" s="39"/>
      <c r="E724" s="39"/>
      <c r="F724" s="39"/>
      <c r="G724" s="39"/>
      <c r="H724" s="39"/>
      <c r="I724" s="39"/>
      <c r="J724" s="39"/>
      <c r="K724" s="39"/>
      <c r="L724" s="40">
        <v>0.71</v>
      </c>
      <c r="M724" s="40">
        <v>0.85</v>
      </c>
      <c r="N724" s="39"/>
      <c r="O724" s="39"/>
      <c r="P724" s="39"/>
      <c r="Q724" s="39"/>
      <c r="R724" s="39"/>
      <c r="S724" s="285">
        <v>0.49</v>
      </c>
      <c r="T724" s="38">
        <f>ROUND((L724*I721+1.3*L724*K721+S724*H721),4)</f>
        <v>268.49250000000001</v>
      </c>
      <c r="U724" s="38">
        <f>ROUND((M724*0.9*I721+1.3*M724*0.9*K721+S724*H721),4)</f>
        <v>287.0138</v>
      </c>
      <c r="V724" s="38">
        <f>ROUND((M724*I721+1.3*M724*K721+S724*H721),4)</f>
        <v>315.63749999999999</v>
      </c>
      <c r="W724" s="38">
        <f>ROUND((L724*J721+1.3*L724*N721+S724*G721),4)</f>
        <v>22.11</v>
      </c>
      <c r="X724" s="38">
        <f>ROUND((M724*0.9*J721+1.3*M724*0.9*N721+S724*G721),4)</f>
        <v>23.594999999999999</v>
      </c>
      <c r="Y724" s="38">
        <f>ROUND((M724*J721+1.3*N721+S724*G721),4)</f>
        <v>27.84</v>
      </c>
      <c r="Z724" s="276">
        <f>ROUND((P721*T724*F721*O721/1000000),4)</f>
        <v>0</v>
      </c>
      <c r="AA724" s="276">
        <f>ROUND((Q721*U724*F721*O721/1000000),4)</f>
        <v>8.6E-3</v>
      </c>
      <c r="AB724" s="276">
        <f>ROUND((R721*V724*F721*O721/1000000),4)</f>
        <v>1.89E-2</v>
      </c>
      <c r="AC724" s="277" t="s">
        <v>548</v>
      </c>
      <c r="AD724" s="278" t="s">
        <v>549</v>
      </c>
      <c r="AE724" s="40">
        <f>ROUND((((X724*E721)/1800)),4)</f>
        <v>1.3100000000000001E-2</v>
      </c>
      <c r="AF724" s="40">
        <f>ROUND(((Z724+AA724+AB724)),4)</f>
        <v>2.75E-2</v>
      </c>
      <c r="AG724" s="288"/>
      <c r="AH724" s="288"/>
      <c r="AI724" s="288"/>
      <c r="AJ724" s="288"/>
    </row>
    <row r="725" spans="1:36" s="61" customFormat="1" ht="15" customHeight="1" x14ac:dyDescent="0.25">
      <c r="A725" s="260"/>
      <c r="B725" s="280"/>
      <c r="C725" s="280"/>
      <c r="D725" s="39"/>
      <c r="E725" s="39"/>
      <c r="F725" s="39"/>
      <c r="G725" s="39"/>
      <c r="H725" s="39"/>
      <c r="I725" s="39"/>
      <c r="J725" s="39"/>
      <c r="K725" s="39"/>
      <c r="L725" s="40">
        <v>0.45</v>
      </c>
      <c r="M725" s="40">
        <v>0.67</v>
      </c>
      <c r="N725" s="39"/>
      <c r="O725" s="39"/>
      <c r="P725" s="39"/>
      <c r="Q725" s="39"/>
      <c r="R725" s="39"/>
      <c r="S725" s="285">
        <v>0.1</v>
      </c>
      <c r="T725" s="38">
        <f>ROUND((L725*I721+1.3*L725*K721+S725*H721),4)</f>
        <v>157.53749999999999</v>
      </c>
      <c r="U725" s="38">
        <f>ROUND((M725*0.9*I721+1.3*M725*0.9*K721+S725*H721),4)</f>
        <v>209.06030000000001</v>
      </c>
      <c r="V725" s="38">
        <f>ROUND((M725*I721+1.3*M725*K721+S725*H721),4)</f>
        <v>231.6225</v>
      </c>
      <c r="W725" s="38">
        <f>ROUND((L725*J721+1.3*L725*N721+S725*G721),4)</f>
        <v>12.75</v>
      </c>
      <c r="X725" s="38">
        <f>ROUND((M725*0.9*J721+1.3*M725*0.9*N721+S725*G721),4)</f>
        <v>16.881</v>
      </c>
      <c r="Y725" s="38">
        <f>ROUND((M725*J721+1.3*M725*N721+S725*G721),4)</f>
        <v>18.690000000000001</v>
      </c>
      <c r="Z725" s="276">
        <f>ROUND((P721*T725*F721*O721/1000000),4)</f>
        <v>0</v>
      </c>
      <c r="AA725" s="276">
        <f>ROUND((Q721*U725*F721*O721/1000000),4)</f>
        <v>6.3E-3</v>
      </c>
      <c r="AB725" s="276">
        <f>ROUND((R721*V725*F721*O721/1000000),4)</f>
        <v>1.3899999999999999E-2</v>
      </c>
      <c r="AC725" s="277" t="s">
        <v>172</v>
      </c>
      <c r="AD725" s="278" t="s">
        <v>173</v>
      </c>
      <c r="AE725" s="40">
        <f>ROUND((((X725*E721)/1800)),4)</f>
        <v>9.4000000000000004E-3</v>
      </c>
      <c r="AF725" s="40">
        <f>ROUND(((Z725+AA725+AB725)),4)</f>
        <v>2.0199999999999999E-2</v>
      </c>
      <c r="AG725" s="288"/>
      <c r="AH725" s="288"/>
      <c r="AI725" s="288"/>
      <c r="AJ725" s="288"/>
    </row>
    <row r="726" spans="1:36" s="61" customFormat="1" ht="15" customHeight="1" x14ac:dyDescent="0.25">
      <c r="A726" s="260"/>
      <c r="B726" s="286"/>
      <c r="C726" s="286"/>
      <c r="D726" s="119"/>
      <c r="E726" s="119"/>
      <c r="F726" s="119"/>
      <c r="G726" s="119"/>
      <c r="H726" s="119"/>
      <c r="I726" s="119"/>
      <c r="J726" s="119"/>
      <c r="K726" s="119"/>
      <c r="L726" s="40">
        <v>2.09</v>
      </c>
      <c r="M726" s="40">
        <v>2.5499999999999998</v>
      </c>
      <c r="N726" s="119"/>
      <c r="O726" s="119"/>
      <c r="P726" s="119"/>
      <c r="Q726" s="119"/>
      <c r="R726" s="119"/>
      <c r="S726" s="285">
        <v>3.91</v>
      </c>
      <c r="T726" s="38">
        <f>ROUND((L726*I721+1.3*L726*K721+S726*H721),4)</f>
        <v>938.40750000000003</v>
      </c>
      <c r="U726" s="38">
        <f>ROUND((M726*0.9*I721+1.3*M726*0.9*K721+S726*H721),4)</f>
        <v>1007.4413</v>
      </c>
      <c r="V726" s="38">
        <f>ROUND((M726*I721+1.3*M726*K721+S726*H721),4)</f>
        <v>1093.3125</v>
      </c>
      <c r="W726" s="38">
        <f>ROUND((L726*J721+1.3*L726*N721+S726*G721),4)</f>
        <v>79.89</v>
      </c>
      <c r="X726" s="38">
        <f>ROUND((M726*0.9*J721+1.3*M726*0.9*N721+S726*G721),4)</f>
        <v>85.424999999999997</v>
      </c>
      <c r="Y726" s="38">
        <f>ROUND((M726*J721+1.3*M726*N721+S726*G721),4)</f>
        <v>92.31</v>
      </c>
      <c r="Z726" s="276">
        <f>ROUND((P721*T726*F721*O721/1000000),4)</f>
        <v>0</v>
      </c>
      <c r="AA726" s="276">
        <f>ROUND((Q721*U726*F721*O721/1000000),4)</f>
        <v>3.0200000000000001E-2</v>
      </c>
      <c r="AB726" s="276">
        <f>ROUND((R721*V726*F721*O721/1000000),4)</f>
        <v>6.5600000000000006E-2</v>
      </c>
      <c r="AC726" s="277" t="s">
        <v>157</v>
      </c>
      <c r="AD726" s="278" t="s">
        <v>153</v>
      </c>
      <c r="AE726" s="40">
        <f>ROUND((((X726*E721)/1800)),4)</f>
        <v>4.7500000000000001E-2</v>
      </c>
      <c r="AF726" s="40">
        <f>ROUND(((Z726+AA726+AB726)),4)</f>
        <v>9.5799999999999996E-2</v>
      </c>
      <c r="AG726" s="288"/>
      <c r="AH726" s="288"/>
      <c r="AI726" s="288"/>
      <c r="AJ726" s="288"/>
    </row>
    <row r="727" spans="1:36" s="61" customFormat="1" ht="15" customHeight="1" x14ac:dyDescent="0.25">
      <c r="A727" s="290"/>
      <c r="B727" s="274" t="s">
        <v>576</v>
      </c>
      <c r="C727" s="274">
        <v>6</v>
      </c>
      <c r="D727" s="38" t="s">
        <v>556</v>
      </c>
      <c r="E727" s="38">
        <v>1</v>
      </c>
      <c r="F727" s="38">
        <v>5</v>
      </c>
      <c r="G727" s="38">
        <v>6</v>
      </c>
      <c r="H727" s="38">
        <v>60</v>
      </c>
      <c r="I727" s="38">
        <f>(8-1-0.75*2)*60*F727-K727-8*0.12*60</f>
        <v>519.9</v>
      </c>
      <c r="J727" s="38">
        <v>14</v>
      </c>
      <c r="K727" s="38">
        <f>(8-1-0.75*2)*0.65*60*F727</f>
        <v>1072.5</v>
      </c>
      <c r="L727" s="38">
        <v>6.47</v>
      </c>
      <c r="M727" s="38">
        <v>6.47</v>
      </c>
      <c r="N727" s="38">
        <v>10</v>
      </c>
      <c r="O727" s="38">
        <f>E727/F727</f>
        <v>0.2</v>
      </c>
      <c r="P727" s="38">
        <v>0</v>
      </c>
      <c r="Q727" s="38">
        <v>30</v>
      </c>
      <c r="R727" s="275">
        <v>60</v>
      </c>
      <c r="S727" s="275">
        <v>1.27</v>
      </c>
      <c r="T727" s="38">
        <f>ROUND((L727*I727+1.3*L727*K727+S727*H727),4)</f>
        <v>12460.7505</v>
      </c>
      <c r="U727" s="38">
        <f>ROUND((M727*I727+1.3*M727*K727+S727*H727),4)</f>
        <v>12460.7505</v>
      </c>
      <c r="V727" s="38">
        <f>ROUND((M727*I727+1.3*M727*K727+S727*H727),4)</f>
        <v>12460.7505</v>
      </c>
      <c r="W727" s="38">
        <f>ROUND((L727*J727+1.3*L727*N727+S727*G727),4)</f>
        <v>182.31</v>
      </c>
      <c r="X727" s="38">
        <f>ROUND((M727*J727+1.3*M727*N727+S727*G727),4)</f>
        <v>182.31</v>
      </c>
      <c r="Y727" s="38">
        <f>ROUND((M727*J727+1.3*M727*N727+S727*G727),4)</f>
        <v>182.31</v>
      </c>
      <c r="Z727" s="276">
        <f>ROUND((P727*T727*F727*O727/1000000),4)</f>
        <v>0</v>
      </c>
      <c r="AA727" s="276">
        <f>ROUND((Q727*U727*F727*O727/1000000),4)</f>
        <v>0.37380000000000002</v>
      </c>
      <c r="AB727" s="276">
        <f>ROUND((R727*V727*F727*O727/1000000),4)</f>
        <v>0.74760000000000004</v>
      </c>
      <c r="AC727" s="277" t="s">
        <v>165</v>
      </c>
      <c r="AD727" s="278" t="s">
        <v>144</v>
      </c>
      <c r="AE727" s="40">
        <f>ROUND((((X727*E727)/1800)*0.8),4)</f>
        <v>8.1000000000000003E-2</v>
      </c>
      <c r="AF727" s="40">
        <f>ROUND(((Z727+AA727+AB727)*0.8),4)</f>
        <v>0.89710000000000001</v>
      </c>
      <c r="AG727" s="288"/>
      <c r="AH727" s="254"/>
    </row>
    <row r="728" spans="1:36" s="61" customFormat="1" ht="15" customHeight="1" x14ac:dyDescent="0.25">
      <c r="A728" s="290"/>
      <c r="B728" s="1634" t="s">
        <v>577</v>
      </c>
      <c r="C728" s="39"/>
      <c r="D728" s="39"/>
      <c r="E728" s="39"/>
      <c r="F728" s="39"/>
      <c r="G728" s="39"/>
      <c r="H728" s="39"/>
      <c r="I728" s="39"/>
      <c r="J728" s="39"/>
      <c r="K728" s="39"/>
      <c r="L728" s="119"/>
      <c r="M728" s="119"/>
      <c r="N728" s="39"/>
      <c r="O728" s="39"/>
      <c r="P728" s="39"/>
      <c r="Q728" s="39"/>
      <c r="R728" s="39"/>
      <c r="S728" s="281"/>
      <c r="T728" s="39"/>
      <c r="U728" s="39"/>
      <c r="V728" s="39"/>
      <c r="W728" s="39"/>
      <c r="X728" s="39"/>
      <c r="Y728" s="39"/>
      <c r="Z728" s="39"/>
      <c r="AA728" s="39"/>
      <c r="AB728" s="39"/>
      <c r="AC728" s="277" t="s">
        <v>166</v>
      </c>
      <c r="AD728" s="278" t="s">
        <v>167</v>
      </c>
      <c r="AE728" s="40">
        <f>ROUND((((X727*E727)/1800)*0.13),4)</f>
        <v>1.32E-2</v>
      </c>
      <c r="AF728" s="40">
        <f>ROUND(((Z727+AA727+AB727)*0.13),4)</f>
        <v>0.14580000000000001</v>
      </c>
      <c r="AG728" s="288"/>
      <c r="AH728" s="254"/>
    </row>
    <row r="729" spans="1:36" s="61" customFormat="1" ht="15" customHeight="1" x14ac:dyDescent="0.25">
      <c r="A729" s="290"/>
      <c r="B729" s="1634"/>
      <c r="C729" s="283"/>
      <c r="D729" s="283"/>
      <c r="E729" s="39"/>
      <c r="F729" s="39"/>
      <c r="G729" s="39"/>
      <c r="H729" s="39"/>
      <c r="I729" s="39"/>
      <c r="J729" s="39"/>
      <c r="K729" s="39"/>
      <c r="L729" s="40">
        <v>0.51</v>
      </c>
      <c r="M729" s="40">
        <v>0.63</v>
      </c>
      <c r="N729" s="39"/>
      <c r="O729" s="39"/>
      <c r="P729" s="39"/>
      <c r="Q729" s="39"/>
      <c r="R729" s="39"/>
      <c r="S729" s="284">
        <v>0.25</v>
      </c>
      <c r="T729" s="38">
        <f>ROUND((L729*I727+1.3*L729*K727+S729*H727),4)</f>
        <v>991.2165</v>
      </c>
      <c r="U729" s="38">
        <f>ROUND((M729*0.9*I727+1.3*M729*0.9*K727+S729*H727),4)</f>
        <v>1100.3231000000001</v>
      </c>
      <c r="V729" s="38">
        <f>ROUND((M729*I727+1.3*M729*K727+S729*H727),4)</f>
        <v>1220.9145000000001</v>
      </c>
      <c r="W729" s="38">
        <f>ROUND((L729*J727+1.3*L729*N727+S729*G727),4)</f>
        <v>15.27</v>
      </c>
      <c r="X729" s="38">
        <f>ROUND((M729*0.9*J727+1.3*M729*0.9*N727+S729*G727),4)</f>
        <v>16.809000000000001</v>
      </c>
      <c r="Y729" s="38">
        <f>ROUND((M729*J727+1.3*M729*N727+S729*G727),4)</f>
        <v>18.510000000000002</v>
      </c>
      <c r="Z729" s="276">
        <f>ROUND((P727*T729*F727*O727/1000000),4)</f>
        <v>0</v>
      </c>
      <c r="AA729" s="276">
        <f>ROUND((Q727*U729*F727*O727/1000000),4)</f>
        <v>3.3000000000000002E-2</v>
      </c>
      <c r="AB729" s="276">
        <f>ROUND((R727*V729*F727*O727/1000000),4)</f>
        <v>7.3300000000000004E-2</v>
      </c>
      <c r="AC729" s="277" t="s">
        <v>547</v>
      </c>
      <c r="AD729" s="278" t="s">
        <v>169</v>
      </c>
      <c r="AE729" s="40">
        <f>ROUND((((X729*E727)/1800)),4)</f>
        <v>9.2999999999999992E-3</v>
      </c>
      <c r="AF729" s="40">
        <f>ROUND(((Z729+AA729+AB729)),5)</f>
        <v>0.10630000000000001</v>
      </c>
      <c r="AG729" s="288"/>
      <c r="AH729" s="254"/>
    </row>
    <row r="730" spans="1:36" s="61" customFormat="1" ht="15" customHeight="1" x14ac:dyDescent="0.25">
      <c r="A730" s="290"/>
      <c r="B730" s="280"/>
      <c r="C730" s="39"/>
      <c r="D730" s="39"/>
      <c r="E730" s="39"/>
      <c r="F730" s="39"/>
      <c r="G730" s="39"/>
      <c r="H730" s="39"/>
      <c r="I730" s="39"/>
      <c r="J730" s="39"/>
      <c r="K730" s="39"/>
      <c r="L730" s="40">
        <v>1.1399999999999999</v>
      </c>
      <c r="M730" s="40">
        <v>1.37</v>
      </c>
      <c r="N730" s="39"/>
      <c r="O730" s="39"/>
      <c r="P730" s="39"/>
      <c r="Q730" s="39"/>
      <c r="R730" s="39"/>
      <c r="S730" s="285">
        <v>0.79</v>
      </c>
      <c r="T730" s="38">
        <f>ROUND((L730*I727+1.3*L730*K727+S730*H727),4)</f>
        <v>2229.5309999999999</v>
      </c>
      <c r="U730" s="38">
        <f>ROUND((M730*0.9*I727+1.3*M730*0.9*K727+S730*H727),4)</f>
        <v>2407.547</v>
      </c>
      <c r="V730" s="38">
        <f>ROUND((M730*I727+1.3*M730*K727+S730*H727),4)</f>
        <v>2669.7855</v>
      </c>
      <c r="W730" s="38">
        <f>ROUND((L730*J727+1.3*L730*N727+S730*G727),4)</f>
        <v>35.520000000000003</v>
      </c>
      <c r="X730" s="38">
        <f>ROUND((M730*0.9*J727+1.3*M730*0.9*N727+S730*G727),4)</f>
        <v>38.030999999999999</v>
      </c>
      <c r="Y730" s="38">
        <f>ROUND((M730*J727+1.3*N727+S730*G727),4)</f>
        <v>36.92</v>
      </c>
      <c r="Z730" s="276">
        <f>ROUND((P727*T730*F727*O727/1000000),4)</f>
        <v>0</v>
      </c>
      <c r="AA730" s="276">
        <f>ROUND((Q727*U730*F727*O727/1000000),4)</f>
        <v>7.22E-2</v>
      </c>
      <c r="AB730" s="276">
        <f>ROUND((R727*V730*F727*O727/1000000),4)</f>
        <v>0.16020000000000001</v>
      </c>
      <c r="AC730" s="277" t="s">
        <v>548</v>
      </c>
      <c r="AD730" s="278" t="s">
        <v>549</v>
      </c>
      <c r="AE730" s="40">
        <f>ROUND((((X730*E727)/1800)),4)</f>
        <v>2.1100000000000001E-2</v>
      </c>
      <c r="AF730" s="40">
        <f>ROUND(((Z730+AA730+AB730)),4)</f>
        <v>0.2324</v>
      </c>
      <c r="AG730" s="288"/>
      <c r="AH730" s="254"/>
    </row>
    <row r="731" spans="1:36" s="61" customFormat="1" ht="15" customHeight="1" x14ac:dyDescent="0.25">
      <c r="A731" s="290"/>
      <c r="B731" s="280"/>
      <c r="C731" s="39"/>
      <c r="D731" s="39"/>
      <c r="E731" s="39"/>
      <c r="F731" s="39"/>
      <c r="G731" s="39"/>
      <c r="H731" s="39"/>
      <c r="I731" s="39"/>
      <c r="J731" s="39"/>
      <c r="K731" s="39"/>
      <c r="L731" s="40">
        <v>0.72</v>
      </c>
      <c r="M731" s="40">
        <v>1.08</v>
      </c>
      <c r="N731" s="39"/>
      <c r="O731" s="39"/>
      <c r="P731" s="39"/>
      <c r="Q731" s="39"/>
      <c r="R731" s="39"/>
      <c r="S731" s="285">
        <v>0.17</v>
      </c>
      <c r="T731" s="38">
        <f>ROUND((L731*I727+1.3*L731*K727+S731*H727),4)</f>
        <v>1388.3879999999999</v>
      </c>
      <c r="U731" s="38">
        <f>ROUND((M731*0.9*I727+1.3*M731*0.9*K727+S731*H727),4)</f>
        <v>1870.7538</v>
      </c>
      <c r="V731" s="38">
        <f>ROUND((M731*I727+1.3*M731*K727+S731*H727),4)</f>
        <v>2077.482</v>
      </c>
      <c r="W731" s="38">
        <f>ROUND((L731*J727+1.3*L731*N727+S731*G727),4)</f>
        <v>20.46</v>
      </c>
      <c r="X731" s="38">
        <f>ROUND((M731*0.9*J727+1.3*M731*0.9*N727+S731*G727),4)</f>
        <v>27.263999999999999</v>
      </c>
      <c r="Y731" s="38">
        <f>ROUND((M731*J727+1.3*M731*N727+S731*G727),4)</f>
        <v>30.18</v>
      </c>
      <c r="Z731" s="276">
        <f>ROUND((P727*T731*F727*O727/1000000),4)</f>
        <v>0</v>
      </c>
      <c r="AA731" s="276">
        <f>ROUND((Q727*U731*F727*O727/1000000),4)</f>
        <v>5.6099999999999997E-2</v>
      </c>
      <c r="AB731" s="276">
        <f>ROUND((R727*V731*F727*O727/1000000),4)</f>
        <v>0.1246</v>
      </c>
      <c r="AC731" s="277" t="s">
        <v>172</v>
      </c>
      <c r="AD731" s="278" t="s">
        <v>173</v>
      </c>
      <c r="AE731" s="40">
        <f>ROUND((((X731*E727)/1800)),4)</f>
        <v>1.5100000000000001E-2</v>
      </c>
      <c r="AF731" s="40">
        <f>ROUND(((Z731+AA731+AB731)),4)</f>
        <v>0.1807</v>
      </c>
      <c r="AG731" s="288"/>
      <c r="AH731" s="254"/>
    </row>
    <row r="732" spans="1:36" s="61" customFormat="1" ht="15" customHeight="1" x14ac:dyDescent="0.25">
      <c r="A732" s="290"/>
      <c r="B732" s="286"/>
      <c r="C732" s="119"/>
      <c r="D732" s="119"/>
      <c r="E732" s="119"/>
      <c r="F732" s="119"/>
      <c r="G732" s="119"/>
      <c r="H732" s="119"/>
      <c r="I732" s="119"/>
      <c r="J732" s="119"/>
      <c r="K732" s="119"/>
      <c r="L732" s="40">
        <v>3.37</v>
      </c>
      <c r="M732" s="40">
        <v>4.1100000000000003</v>
      </c>
      <c r="N732" s="119"/>
      <c r="O732" s="119"/>
      <c r="P732" s="119"/>
      <c r="Q732" s="119"/>
      <c r="R732" s="119"/>
      <c r="S732" s="285">
        <v>6.31</v>
      </c>
      <c r="T732" s="38">
        <f>ROUND((L732*I727+1.3*L732*K727+S732*H727),4)</f>
        <v>6829.2855</v>
      </c>
      <c r="U732" s="38">
        <f>ROUND((M732*0.9*I727+1.3*M732*0.9*K727+S732*H727),4)</f>
        <v>7459.0409</v>
      </c>
      <c r="V732" s="38">
        <f>ROUND((M732*I727+1.3*M732*K727+S732*H727),4)</f>
        <v>8245.7564999999995</v>
      </c>
      <c r="W732" s="38">
        <f>ROUND((L732*J727+1.3*L732*N727+S732*G727),4)</f>
        <v>128.85</v>
      </c>
      <c r="X732" s="38">
        <f>ROUND((M732*0.9*J727+1.3*M732*0.9*N727+S732*G727),4)</f>
        <v>137.733</v>
      </c>
      <c r="Y732" s="38">
        <f>ROUND((M732*J727+1.3*M732*N727+S732*G727),4)</f>
        <v>148.83000000000001</v>
      </c>
      <c r="Z732" s="276">
        <f>ROUND((P727*T732*F727*O727/1000000),4)</f>
        <v>0</v>
      </c>
      <c r="AA732" s="276">
        <f>ROUND((Q727*U732*F727*O727/1000000),4)</f>
        <v>0.2238</v>
      </c>
      <c r="AB732" s="276">
        <f>ROUND((R727*V732*F727*O727/1000000),4)</f>
        <v>0.49469999999999997</v>
      </c>
      <c r="AC732" s="277" t="s">
        <v>157</v>
      </c>
      <c r="AD732" s="278" t="s">
        <v>153</v>
      </c>
      <c r="AE732" s="40">
        <f>ROUND((((X732*E727)/1800)),4)</f>
        <v>7.6499999999999999E-2</v>
      </c>
      <c r="AF732" s="40">
        <f>ROUND(((Z732+AA732+AB732)),4)</f>
        <v>0.71850000000000003</v>
      </c>
      <c r="AG732" s="288"/>
      <c r="AH732" s="254"/>
    </row>
    <row r="733" spans="1:36" s="61" customFormat="1" ht="15" customHeight="1" x14ac:dyDescent="0.25">
      <c r="A733" s="39"/>
      <c r="B733" s="287" t="s">
        <v>578</v>
      </c>
      <c r="C733" s="274">
        <v>3</v>
      </c>
      <c r="D733" s="38" t="s">
        <v>579</v>
      </c>
      <c r="E733" s="38">
        <v>1</v>
      </c>
      <c r="F733" s="38">
        <v>5</v>
      </c>
      <c r="G733" s="38">
        <v>6</v>
      </c>
      <c r="H733" s="38">
        <v>60</v>
      </c>
      <c r="I733" s="38">
        <f>(8-1-0.75*2)*60*F733-K733-8*0.12*60</f>
        <v>519.9</v>
      </c>
      <c r="J733" s="38">
        <v>14</v>
      </c>
      <c r="K733" s="38">
        <f>(8-1-0.75*2)*0.65*60*F733</f>
        <v>1072.5</v>
      </c>
      <c r="L733" s="38">
        <v>1.49</v>
      </c>
      <c r="M733" s="38">
        <v>1.49</v>
      </c>
      <c r="N733" s="38">
        <v>10</v>
      </c>
      <c r="O733" s="38">
        <f>E733/F733</f>
        <v>0.2</v>
      </c>
      <c r="P733" s="38">
        <v>0</v>
      </c>
      <c r="Q733" s="38">
        <v>30</v>
      </c>
      <c r="R733" s="275">
        <v>60</v>
      </c>
      <c r="S733" s="275">
        <v>0.28999999999999998</v>
      </c>
      <c r="T733" s="38">
        <f>ROUND((L733*I733+1.3*L733*K733+S733*H733),4)</f>
        <v>2869.4834999999998</v>
      </c>
      <c r="U733" s="38">
        <f>ROUND((M733*I733+1.3*M733*K733+S733*H733),4)</f>
        <v>2869.4834999999998</v>
      </c>
      <c r="V733" s="38">
        <f>ROUND((M733*I733+1.3*M733*K733+S733*H733),4)</f>
        <v>2869.4834999999998</v>
      </c>
      <c r="W733" s="38">
        <f>ROUND((L733*J733+1.3*L733*N733+S733*G733),4)</f>
        <v>41.97</v>
      </c>
      <c r="X733" s="38">
        <f>ROUND((M733*J733+1.3*M733*N733+S733*G733),4)</f>
        <v>41.97</v>
      </c>
      <c r="Y733" s="38">
        <f>ROUND((M733*J733+1.3*M733*N733+S733*G733),4)</f>
        <v>41.97</v>
      </c>
      <c r="Z733" s="276">
        <f>ROUND((P733*T733*F733*O733/1000000),4)</f>
        <v>0</v>
      </c>
      <c r="AA733" s="276">
        <f>ROUND((Q733*U733*F733*O733/1000000),4)</f>
        <v>8.6099999999999996E-2</v>
      </c>
      <c r="AB733" s="276">
        <f>ROUND((R733*V733*F733*O733/1000000),4)</f>
        <v>0.17219999999999999</v>
      </c>
      <c r="AC733" s="277" t="s">
        <v>165</v>
      </c>
      <c r="AD733" s="278" t="s">
        <v>144</v>
      </c>
      <c r="AE733" s="40">
        <f>ROUND((((X733*E733)/1800)*0.8),4)</f>
        <v>1.8700000000000001E-2</v>
      </c>
      <c r="AF733" s="40">
        <f>ROUND(((Z733+AA733+AB733)*0.8),4)</f>
        <v>0.20660000000000001</v>
      </c>
      <c r="AG733" s="288"/>
      <c r="AH733" s="288"/>
      <c r="AI733" s="288"/>
    </row>
    <row r="734" spans="1:36" s="61" customFormat="1" ht="15" customHeight="1" x14ac:dyDescent="0.25">
      <c r="A734" s="39"/>
      <c r="B734" s="1634" t="s">
        <v>580</v>
      </c>
      <c r="C734" s="39"/>
      <c r="D734" s="39"/>
      <c r="E734" s="39"/>
      <c r="F734" s="39"/>
      <c r="G734" s="39"/>
      <c r="H734" s="39"/>
      <c r="I734" s="39"/>
      <c r="J734" s="39"/>
      <c r="K734" s="39"/>
      <c r="L734" s="119"/>
      <c r="M734" s="119"/>
      <c r="N734" s="39"/>
      <c r="O734" s="39"/>
      <c r="P734" s="39"/>
      <c r="Q734" s="39"/>
      <c r="R734" s="39"/>
      <c r="S734" s="281"/>
      <c r="T734" s="39"/>
      <c r="U734" s="39"/>
      <c r="V734" s="39"/>
      <c r="W734" s="39"/>
      <c r="X734" s="39"/>
      <c r="Y734" s="39"/>
      <c r="Z734" s="39"/>
      <c r="AA734" s="39"/>
      <c r="AB734" s="39"/>
      <c r="AC734" s="277" t="s">
        <v>166</v>
      </c>
      <c r="AD734" s="278" t="s">
        <v>167</v>
      </c>
      <c r="AE734" s="40">
        <f>ROUND((((X733*E733)/1800)*0.13),4)</f>
        <v>3.0000000000000001E-3</v>
      </c>
      <c r="AF734" s="40">
        <f>ROUND(((Z733+AA733+AB733)*0.13),4)</f>
        <v>3.3599999999999998E-2</v>
      </c>
      <c r="AG734" s="288"/>
      <c r="AH734" s="288"/>
      <c r="AI734" s="288"/>
    </row>
    <row r="735" spans="1:36" s="61" customFormat="1" ht="15" customHeight="1" x14ac:dyDescent="0.25">
      <c r="A735" s="39"/>
      <c r="B735" s="1634"/>
      <c r="C735" s="283"/>
      <c r="D735" s="283"/>
      <c r="E735" s="39"/>
      <c r="F735" s="39"/>
      <c r="G735" s="39"/>
      <c r="H735" s="39"/>
      <c r="I735" s="39"/>
      <c r="J735" s="39"/>
      <c r="K735" s="39"/>
      <c r="L735" s="40">
        <v>0.12</v>
      </c>
      <c r="M735" s="40">
        <v>0.15</v>
      </c>
      <c r="N735" s="39"/>
      <c r="O735" s="39"/>
      <c r="P735" s="39"/>
      <c r="Q735" s="39"/>
      <c r="R735" s="39"/>
      <c r="S735" s="284">
        <v>5.8000000000000003E-2</v>
      </c>
      <c r="T735" s="38">
        <f>ROUND((L735*I733+1.3*L735*K733+S735*H733),4)</f>
        <v>233.178</v>
      </c>
      <c r="U735" s="38">
        <f>ROUND((M735*0.9*I733+1.3*M735*0.9*K733+S735*H733),4)</f>
        <v>261.89030000000002</v>
      </c>
      <c r="V735" s="38">
        <f>ROUND((M735*I733+1.3*M735*K733+S735*H733),4)</f>
        <v>290.60250000000002</v>
      </c>
      <c r="W735" s="38">
        <f>ROUND((L735*J733+1.3*L735*N733+S735*G733),4)</f>
        <v>3.5880000000000001</v>
      </c>
      <c r="X735" s="38">
        <f>ROUND((M735*0.9*J733+1.3*M735*0.9*N733+S735*G733),4)</f>
        <v>3.9929999999999999</v>
      </c>
      <c r="Y735" s="38">
        <f>ROUND((M735*J733+1.3*M735*N733+S735*G733),4)</f>
        <v>4.3979999999999997</v>
      </c>
      <c r="Z735" s="276">
        <f>ROUND((P733*T735*F733*O733/1000000),4)</f>
        <v>0</v>
      </c>
      <c r="AA735" s="276">
        <f>ROUND((Q733*U735*F733*O733/1000000),4)</f>
        <v>7.9000000000000008E-3</v>
      </c>
      <c r="AB735" s="276">
        <f>ROUND((R733*V735*F733*O733/1000000),4)</f>
        <v>1.7399999999999999E-2</v>
      </c>
      <c r="AC735" s="277" t="s">
        <v>547</v>
      </c>
      <c r="AD735" s="278" t="s">
        <v>169</v>
      </c>
      <c r="AE735" s="40">
        <f>ROUND((((X735*E733)/1800)),4)</f>
        <v>2.2000000000000001E-3</v>
      </c>
      <c r="AF735" s="40">
        <f>ROUND(((Z735+AA735+AB735)),5)</f>
        <v>2.53E-2</v>
      </c>
      <c r="AG735" s="288"/>
      <c r="AH735" s="288"/>
      <c r="AI735" s="288"/>
    </row>
    <row r="736" spans="1:36" s="61" customFormat="1" ht="15" customHeight="1" x14ac:dyDescent="0.25">
      <c r="A736" s="39"/>
      <c r="B736" s="288"/>
      <c r="C736" s="39"/>
      <c r="D736" s="39"/>
      <c r="E736" s="39"/>
      <c r="F736" s="39"/>
      <c r="G736" s="39"/>
      <c r="H736" s="39"/>
      <c r="I736" s="39"/>
      <c r="J736" s="39"/>
      <c r="K736" s="39"/>
      <c r="L736" s="40">
        <v>0.26</v>
      </c>
      <c r="M736" s="40">
        <v>0.31</v>
      </c>
      <c r="N736" s="39"/>
      <c r="O736" s="39"/>
      <c r="P736" s="39"/>
      <c r="Q736" s="39"/>
      <c r="R736" s="39"/>
      <c r="S736" s="285">
        <v>0.18</v>
      </c>
      <c r="T736" s="38">
        <f>ROUND((L736*I733+1.3*L736*K733+S736*H733),4)</f>
        <v>508.47899999999998</v>
      </c>
      <c r="U736" s="38">
        <f>ROUND((M736*0.9*I733+1.3*M736*0.9*K733+S736*H733),4)</f>
        <v>544.84789999999998</v>
      </c>
      <c r="V736" s="38">
        <f>ROUND((M736*I733+1.3*M736*K733+S736*H733),4)</f>
        <v>604.18650000000002</v>
      </c>
      <c r="W736" s="38">
        <f>ROUND((L736*J733+1.3*L736*N733+S736*G733),4)</f>
        <v>8.1</v>
      </c>
      <c r="X736" s="38">
        <f>ROUND((M736*0.9*J733+1.3*M736*0.9*N733+S736*G733),4)</f>
        <v>8.6129999999999995</v>
      </c>
      <c r="Y736" s="38">
        <f>ROUND((M736*J733+1.3*N733+S736*G733),4)</f>
        <v>18.420000000000002</v>
      </c>
      <c r="Z736" s="276">
        <f>ROUND((P733*T736*F733*O733/1000000),4)</f>
        <v>0</v>
      </c>
      <c r="AA736" s="276">
        <f>ROUND((Q733*U736*F733*O733/1000000),4)</f>
        <v>1.6299999999999999E-2</v>
      </c>
      <c r="AB736" s="276">
        <f>ROUND((R733*V736*F733*O733/1000000),4)</f>
        <v>3.6299999999999999E-2</v>
      </c>
      <c r="AC736" s="277" t="s">
        <v>548</v>
      </c>
      <c r="AD736" s="278" t="s">
        <v>549</v>
      </c>
      <c r="AE736" s="40">
        <f>ROUND((((X736*E733)/1800)),4)</f>
        <v>4.7999999999999996E-3</v>
      </c>
      <c r="AF736" s="40">
        <f>ROUND(((Z736+AA736+AB736)),4)</f>
        <v>5.2600000000000001E-2</v>
      </c>
      <c r="AG736" s="288"/>
      <c r="AH736" s="288"/>
      <c r="AI736" s="288"/>
    </row>
    <row r="737" spans="1:35" s="61" customFormat="1" ht="15" customHeight="1" x14ac:dyDescent="0.25">
      <c r="A737" s="39"/>
      <c r="B737" s="280"/>
      <c r="C737" s="39"/>
      <c r="D737" s="39"/>
      <c r="E737" s="39"/>
      <c r="F737" s="39"/>
      <c r="G737" s="39"/>
      <c r="H737" s="39"/>
      <c r="I737" s="39"/>
      <c r="J737" s="39"/>
      <c r="K737" s="39"/>
      <c r="L737" s="40">
        <v>0.17</v>
      </c>
      <c r="M737" s="40">
        <v>0.25</v>
      </c>
      <c r="N737" s="39"/>
      <c r="O737" s="39"/>
      <c r="P737" s="39"/>
      <c r="Q737" s="39"/>
      <c r="R737" s="39"/>
      <c r="S737" s="285">
        <v>0.04</v>
      </c>
      <c r="T737" s="38">
        <f>ROUND((L737*I733+1.3*L737*K733+S737*H733),4)</f>
        <v>327.80549999999999</v>
      </c>
      <c r="U737" s="38">
        <f>ROUND((M737*0.9*I733+1.3*M737*0.9*K733+S737*H733),4)</f>
        <v>433.0838</v>
      </c>
      <c r="V737" s="38">
        <f>ROUND((M737*I733+1.3*M737*K733+S737*H733),4)</f>
        <v>480.9375</v>
      </c>
      <c r="W737" s="38">
        <f>ROUND((L737*J733+1.3*L737*N733+S737*G733),4)</f>
        <v>4.83</v>
      </c>
      <c r="X737" s="38">
        <f>ROUND((M737*0.9*J733+1.3*M737*0.9*N733+S737*G733),4)</f>
        <v>6.3150000000000004</v>
      </c>
      <c r="Y737" s="38">
        <f>ROUND((M737*J733+1.3*M737*N733+S737*G733),4)</f>
        <v>6.99</v>
      </c>
      <c r="Z737" s="276">
        <f>ROUND((P733*T737*F733*O733/1000000),4)</f>
        <v>0</v>
      </c>
      <c r="AA737" s="276">
        <f>ROUND((Q733*U737*F733*O733/1000000),4)</f>
        <v>1.2999999999999999E-2</v>
      </c>
      <c r="AB737" s="276">
        <f>ROUND((R733*V737*F733*O733/1000000),4)</f>
        <v>2.8899999999999999E-2</v>
      </c>
      <c r="AC737" s="277" t="s">
        <v>172</v>
      </c>
      <c r="AD737" s="278" t="s">
        <v>173</v>
      </c>
      <c r="AE737" s="40">
        <f>ROUND((((X737*E733)/1800)),4)</f>
        <v>3.5000000000000001E-3</v>
      </c>
      <c r="AF737" s="40">
        <f>ROUND(((Z737+AA737+AB737)),4)</f>
        <v>4.19E-2</v>
      </c>
      <c r="AG737" s="288"/>
      <c r="AH737" s="288"/>
      <c r="AI737" s="288"/>
    </row>
    <row r="738" spans="1:35" s="61" customFormat="1" ht="15" customHeight="1" x14ac:dyDescent="0.25">
      <c r="A738" s="119"/>
      <c r="B738" s="286"/>
      <c r="C738" s="119"/>
      <c r="D738" s="119"/>
      <c r="E738" s="119"/>
      <c r="F738" s="119"/>
      <c r="G738" s="119"/>
      <c r="H738" s="119"/>
      <c r="I738" s="119"/>
      <c r="J738" s="119"/>
      <c r="K738" s="119"/>
      <c r="L738" s="40">
        <v>0.77</v>
      </c>
      <c r="M738" s="40">
        <v>0.94</v>
      </c>
      <c r="N738" s="119"/>
      <c r="O738" s="119"/>
      <c r="P738" s="119"/>
      <c r="Q738" s="119"/>
      <c r="R738" s="119"/>
      <c r="S738" s="285">
        <v>1.44</v>
      </c>
      <c r="T738" s="38">
        <f>ROUND((L738*I733+1.3*L738*K733+S738*H733),4)</f>
        <v>1560.2954999999999</v>
      </c>
      <c r="U738" s="38">
        <f>ROUND((M738*0.9*I733+1.3*M738*0.9*K733+S738*H733),4)</f>
        <v>1705.7709</v>
      </c>
      <c r="V738" s="38">
        <f>ROUND((M738*I733+1.3*M738*K733+S738*H733),4)</f>
        <v>1885.701</v>
      </c>
      <c r="W738" s="38">
        <f>ROUND((L738*J733+1.3*L738*N733+S738*G733),4)</f>
        <v>29.43</v>
      </c>
      <c r="X738" s="38">
        <f>ROUND((M738*0.9*J733+1.3*M738*0.9*N733+S738*G733),4)</f>
        <v>31.481999999999999</v>
      </c>
      <c r="Y738" s="38">
        <f>ROUND((M738*J733+1.3*M738*N733+S738*G733),4)</f>
        <v>34.020000000000003</v>
      </c>
      <c r="Z738" s="276">
        <f>ROUND((P733*T738*F733*O733/1000000),4)</f>
        <v>0</v>
      </c>
      <c r="AA738" s="276">
        <f>ROUND((Q733*U738*F733*O733/1000000),4)</f>
        <v>5.1200000000000002E-2</v>
      </c>
      <c r="AB738" s="276">
        <f>ROUND((R733*V738*F733*O733/1000000),4)</f>
        <v>0.11310000000000001</v>
      </c>
      <c r="AC738" s="277" t="s">
        <v>157</v>
      </c>
      <c r="AD738" s="278" t="s">
        <v>153</v>
      </c>
      <c r="AE738" s="40">
        <f>ROUND((((X738*E733)/1800)),4)</f>
        <v>1.7500000000000002E-2</v>
      </c>
      <c r="AF738" s="40">
        <f>ROUND(((Z738+AA738+AB738)),4)</f>
        <v>0.1643</v>
      </c>
      <c r="AG738" s="288"/>
      <c r="AH738" s="288"/>
      <c r="AI738" s="288"/>
    </row>
    <row r="739" spans="1:35" s="61" customFormat="1" ht="15" customHeight="1" x14ac:dyDescent="0.25">
      <c r="A739" s="1676" t="s">
        <v>610</v>
      </c>
      <c r="B739" s="1677"/>
      <c r="C739" s="1677"/>
      <c r="D739" s="1677"/>
      <c r="E739" s="1677"/>
      <c r="F739" s="1677"/>
      <c r="G739" s="1677"/>
      <c r="H739" s="1677"/>
      <c r="I739" s="1677"/>
      <c r="J739" s="1677"/>
      <c r="K739" s="1677"/>
      <c r="L739" s="1677"/>
      <c r="M739" s="1677"/>
      <c r="N739" s="1677"/>
      <c r="O739" s="1677"/>
      <c r="P739" s="1677"/>
      <c r="Q739" s="1677"/>
      <c r="R739" s="1677"/>
      <c r="S739" s="1678"/>
      <c r="T739" s="36">
        <f>ROUND((L739*I739+1.3*L739*K739+S739*H739),4)</f>
        <v>0</v>
      </c>
      <c r="U739" s="36">
        <f>ROUND((M739*I739+1.3*M739*K739+S739*H739),4)</f>
        <v>0</v>
      </c>
      <c r="V739" s="36">
        <f>ROUND((M739*I739+1.3*M739*K739+S739*H739),4)</f>
        <v>0</v>
      </c>
      <c r="W739" s="36">
        <f>ROUND((L739*J739+1.3*L739*N739+S739*G739),4)</f>
        <v>0</v>
      </c>
      <c r="X739" s="36">
        <f>ROUND((M739*J739+1.3*M739*N739+S739*G739),4)</f>
        <v>0</v>
      </c>
      <c r="Y739" s="36">
        <f>ROUND((M739*J739+1.3*M739*N739+S739*G739),4)</f>
        <v>0</v>
      </c>
      <c r="Z739" s="291">
        <f>ROUND((P739*T739*F739*O739/1000000),4)</f>
        <v>0</v>
      </c>
      <c r="AA739" s="291">
        <f>ROUND((Q739*U739*F739*O739/1000000),4)</f>
        <v>0</v>
      </c>
      <c r="AB739" s="291">
        <f>ROUND((R739*V739*F739*O739/1000000),4)</f>
        <v>0</v>
      </c>
      <c r="AC739" s="292" t="s">
        <v>165</v>
      </c>
      <c r="AD739" s="293" t="s">
        <v>144</v>
      </c>
      <c r="AE739" s="294">
        <f>MAX(AE595,AE601,AE607,AE613,AE619,AE625,AE631,AE637,AE643,AE679,AE685,AE691,AE703,AE709,AE715,AE721,AE727,AE733,AE649,AE655,AE661,AE667,AE673,AE697)</f>
        <v>0.38169999999999998</v>
      </c>
      <c r="AF739" s="294">
        <f>AF595+AF601+AF607+AF613+AF619+AF625+AF631+AF637+AF643+AF679+AF685+AF691+AF703+AF709+AF715+AF721+AF727+AF733+AF649+AF655+AF661+AF667+AF673+AF697</f>
        <v>21.994000000000003</v>
      </c>
      <c r="AG739" s="254"/>
      <c r="AH739" s="254"/>
    </row>
    <row r="740" spans="1:35" s="61" customFormat="1" ht="15" customHeight="1" x14ac:dyDescent="0.25">
      <c r="A740" s="1676"/>
      <c r="B740" s="1679"/>
      <c r="C740" s="1679"/>
      <c r="D740" s="1679"/>
      <c r="E740" s="1679"/>
      <c r="F740" s="1679"/>
      <c r="G740" s="1679"/>
      <c r="H740" s="1679"/>
      <c r="I740" s="1679"/>
      <c r="J740" s="1679"/>
      <c r="K740" s="1679"/>
      <c r="L740" s="1679"/>
      <c r="M740" s="1679"/>
      <c r="N740" s="1679"/>
      <c r="O740" s="1679"/>
      <c r="P740" s="1679"/>
      <c r="Q740" s="1679"/>
      <c r="R740" s="1679"/>
      <c r="S740" s="1680"/>
      <c r="T740" s="37"/>
      <c r="U740" s="37"/>
      <c r="V740" s="37"/>
      <c r="W740" s="37"/>
      <c r="X740" s="37"/>
      <c r="Y740" s="37"/>
      <c r="Z740" s="37"/>
      <c r="AA740" s="37"/>
      <c r="AB740" s="37"/>
      <c r="AC740" s="292" t="s">
        <v>166</v>
      </c>
      <c r="AD740" s="293" t="s">
        <v>167</v>
      </c>
      <c r="AE740" s="294">
        <f t="shared" ref="AE740:AE744" si="6">MAX(AE596,AE602,AE608,AE614,AE620,AE626,AE632,AE638,AE644,AE680,AE686,AE692,AE704,AE710,AE716,AE722,AE728,AE734,AE650,AE656,AE662,AE668,AE674,AE698)</f>
        <v>6.2E-2</v>
      </c>
      <c r="AF740" s="294">
        <f t="shared" ref="AF740:AF744" si="7">AF596+AF602+AF608+AF614+AF620+AF626+AF632+AF638+AF644+AF680+AF686+AF692+AF704+AF710+AF716+AF722+AF728+AF734+AF650+AF656+AF662+AF668+AF674+AF698</f>
        <v>3.5739000000000014</v>
      </c>
      <c r="AG740" s="254"/>
      <c r="AH740" s="254"/>
    </row>
    <row r="741" spans="1:35" s="61" customFormat="1" ht="15" customHeight="1" x14ac:dyDescent="0.25">
      <c r="A741" s="1676"/>
      <c r="B741" s="1679"/>
      <c r="C741" s="1679"/>
      <c r="D741" s="1679"/>
      <c r="E741" s="1679"/>
      <c r="F741" s="1679"/>
      <c r="G741" s="1679"/>
      <c r="H741" s="1679"/>
      <c r="I741" s="1679"/>
      <c r="J741" s="1679"/>
      <c r="K741" s="1679"/>
      <c r="L741" s="1679"/>
      <c r="M741" s="1679"/>
      <c r="N741" s="1679"/>
      <c r="O741" s="1679"/>
      <c r="P741" s="1679"/>
      <c r="Q741" s="1679"/>
      <c r="R741" s="1679"/>
      <c r="S741" s="1680"/>
      <c r="T741" s="36">
        <f>ROUND((L741*I739+1.3*L741*K739+S741*H739),4)</f>
        <v>0</v>
      </c>
      <c r="U741" s="36">
        <f>ROUND((M741*0.9*I739+1.3*M741*0.9*K739+S741*H739),4)</f>
        <v>0</v>
      </c>
      <c r="V741" s="36">
        <f>ROUND((M741*I739+1.3*M741*K739+S741*H739),4)</f>
        <v>0</v>
      </c>
      <c r="W741" s="36">
        <f>ROUND((L741*J739+1.3*L741*N739+S741*G739),4)</f>
        <v>0</v>
      </c>
      <c r="X741" s="36">
        <f>ROUND((M741*0.9*J739+1.3*M741*0.9*N739+S741*G739),4)</f>
        <v>0</v>
      </c>
      <c r="Y741" s="36">
        <f>ROUND((M741*J739+1.3*M741*N739+S741*G739),4)</f>
        <v>0</v>
      </c>
      <c r="Z741" s="291">
        <f>ROUND((P739*T741*F739*O739/1000000),4)</f>
        <v>0</v>
      </c>
      <c r="AA741" s="291">
        <f>ROUND((Q739*U741*F739*O739/1000000),4)</f>
        <v>0</v>
      </c>
      <c r="AB741" s="291">
        <f>ROUND((R739*V741*F739*O739/1000000),4)</f>
        <v>0</v>
      </c>
      <c r="AC741" s="292" t="s">
        <v>547</v>
      </c>
      <c r="AD741" s="293" t="s">
        <v>169</v>
      </c>
      <c r="AE741" s="294">
        <f t="shared" si="6"/>
        <v>4.36E-2</v>
      </c>
      <c r="AF741" s="294">
        <f t="shared" si="7"/>
        <v>2.9603000000000002</v>
      </c>
      <c r="AG741" s="254"/>
      <c r="AH741" s="254"/>
    </row>
    <row r="742" spans="1:35" s="61" customFormat="1" ht="15" customHeight="1" x14ac:dyDescent="0.25">
      <c r="A742" s="1676"/>
      <c r="B742" s="1679"/>
      <c r="C742" s="1679"/>
      <c r="D742" s="1679"/>
      <c r="E742" s="1679"/>
      <c r="F742" s="1679"/>
      <c r="G742" s="1679"/>
      <c r="H742" s="1679"/>
      <c r="I742" s="1679"/>
      <c r="J742" s="1679"/>
      <c r="K742" s="1679"/>
      <c r="L742" s="1679"/>
      <c r="M742" s="1679"/>
      <c r="N742" s="1679"/>
      <c r="O742" s="1679"/>
      <c r="P742" s="1679"/>
      <c r="Q742" s="1679"/>
      <c r="R742" s="1679"/>
      <c r="S742" s="1680"/>
      <c r="T742" s="36">
        <f>ROUND((L742*I739+1.3*L742*K739+S742*H739),4)</f>
        <v>0</v>
      </c>
      <c r="U742" s="36">
        <f>ROUND((M742*0.9*I739+1.3*M742*0.9*K739+S742*H739),4)</f>
        <v>0</v>
      </c>
      <c r="V742" s="36">
        <f>ROUND((M742*I739+1.3*M742*K739+S742*H739),4)</f>
        <v>0</v>
      </c>
      <c r="W742" s="36">
        <f>ROUND((L742*J739+1.3*L742*N739+S742*G739),4)</f>
        <v>0</v>
      </c>
      <c r="X742" s="36">
        <f>ROUND((M742*0.9*J739+1.3*M742*0.9*N739+S742*G739),4)</f>
        <v>0</v>
      </c>
      <c r="Y742" s="36">
        <f>ROUND((M742*J739+1.3*N739+S742*G739),4)</f>
        <v>0</v>
      </c>
      <c r="Z742" s="291">
        <f>ROUND((P739*T742*F739*O739/1000000),4)</f>
        <v>0</v>
      </c>
      <c r="AA742" s="291">
        <f>ROUND((Q739*U742*F739*O739/1000000),4)</f>
        <v>0</v>
      </c>
      <c r="AB742" s="291">
        <f>ROUND((R739*V742*F739*O739/1000000),4)</f>
        <v>0</v>
      </c>
      <c r="AC742" s="292" t="s">
        <v>548</v>
      </c>
      <c r="AD742" s="293" t="s">
        <v>549</v>
      </c>
      <c r="AE742" s="294">
        <f t="shared" si="6"/>
        <v>9.9500000000000005E-2</v>
      </c>
      <c r="AF742" s="294">
        <f t="shared" si="7"/>
        <v>5.6858999999999993</v>
      </c>
      <c r="AG742" s="254"/>
      <c r="AH742" s="254"/>
    </row>
    <row r="743" spans="1:35" s="61" customFormat="1" ht="15" customHeight="1" x14ac:dyDescent="0.25">
      <c r="A743" s="1676"/>
      <c r="B743" s="1679"/>
      <c r="C743" s="1679"/>
      <c r="D743" s="1679"/>
      <c r="E743" s="1679"/>
      <c r="F743" s="1679"/>
      <c r="G743" s="1679"/>
      <c r="H743" s="1679"/>
      <c r="I743" s="1679"/>
      <c r="J743" s="1679"/>
      <c r="K743" s="1679"/>
      <c r="L743" s="1679"/>
      <c r="M743" s="1679"/>
      <c r="N743" s="1679"/>
      <c r="O743" s="1679"/>
      <c r="P743" s="1679"/>
      <c r="Q743" s="1679"/>
      <c r="R743" s="1679"/>
      <c r="S743" s="1680"/>
      <c r="T743" s="36">
        <f>ROUND((L743*I739+1.3*L743*K739+S743*H739),4)</f>
        <v>0</v>
      </c>
      <c r="U743" s="36">
        <f>ROUND((M743*0.9*I739+1.3*M743*0.9*K739+S743*H739),4)</f>
        <v>0</v>
      </c>
      <c r="V743" s="36">
        <f>ROUND((M743*I739+1.3*M743*K739+S743*H739),4)</f>
        <v>0</v>
      </c>
      <c r="W743" s="36">
        <f>ROUND((L743*J739+1.3*L743*N739+S743*G739),4)</f>
        <v>0</v>
      </c>
      <c r="X743" s="36">
        <f>ROUND((M743*0.9*J739+1.3*M743*0.9*N739+S743*G739),4)</f>
        <v>0</v>
      </c>
      <c r="Y743" s="36">
        <f>ROUND((M743*J739+1.3*M743*N739+S743*G739),4)</f>
        <v>0</v>
      </c>
      <c r="Z743" s="291">
        <f>ROUND((P739*T743*F739*O739/1000000),4)</f>
        <v>0</v>
      </c>
      <c r="AA743" s="291">
        <f>ROUND((Q739*U743*F739*O739/1000000),4)</f>
        <v>0</v>
      </c>
      <c r="AB743" s="291">
        <f>ROUND((R739*V743*F739*O739/1000000),4)</f>
        <v>0</v>
      </c>
      <c r="AC743" s="292" t="s">
        <v>172</v>
      </c>
      <c r="AD743" s="293" t="s">
        <v>173</v>
      </c>
      <c r="AE743" s="294">
        <f>MAX(AE599,AE605,AE611,AE617,AE623,AE629,AE635,AE641,AE647,AE683,AE689,AE695,AE707,AE713,AE719,AE725,AE731,AE737,AE653,AE659,AE665,AE671,AE677,AE701)</f>
        <v>7.1499999999999994E-2</v>
      </c>
      <c r="AF743" s="294">
        <f t="shared" si="7"/>
        <v>4.4348000000000001</v>
      </c>
      <c r="AG743" s="254"/>
      <c r="AH743" s="254"/>
    </row>
    <row r="744" spans="1:35" s="61" customFormat="1" ht="15" customHeight="1" x14ac:dyDescent="0.3">
      <c r="A744" s="1681"/>
      <c r="B744" s="1682"/>
      <c r="C744" s="1682"/>
      <c r="D744" s="1682"/>
      <c r="E744" s="1682"/>
      <c r="F744" s="1682"/>
      <c r="G744" s="1682"/>
      <c r="H744" s="1682"/>
      <c r="I744" s="1682"/>
      <c r="J744" s="1682"/>
      <c r="K744" s="1682"/>
      <c r="L744" s="1682"/>
      <c r="M744" s="1682"/>
      <c r="N744" s="1682"/>
      <c r="O744" s="1682"/>
      <c r="P744" s="1682"/>
      <c r="Q744" s="1682"/>
      <c r="R744" s="1682"/>
      <c r="S744" s="1683"/>
      <c r="T744" s="36">
        <f>ROUND((L744*I739+1.3*L744*K739+S744*H739),4)</f>
        <v>0</v>
      </c>
      <c r="U744" s="36">
        <f>ROUND((M744*0.9*I739+1.3*M744*0.9*K739+S744*H739),4)</f>
        <v>0</v>
      </c>
      <c r="V744" s="36">
        <f>ROUND((M744*I739+1.3*M744*K739+S744*H739),4)</f>
        <v>0</v>
      </c>
      <c r="W744" s="36">
        <f>ROUND((L744*J739+1.3*L744*N739+S744*G739),4)</f>
        <v>0</v>
      </c>
      <c r="X744" s="36">
        <f>ROUND((M744*0.9*J739+1.3*M744*0.9*N739+S744*G739),4)</f>
        <v>0</v>
      </c>
      <c r="Y744" s="36">
        <f>ROUND((M744*J739+1.3*M744*N739+S744*G739),4)</f>
        <v>0</v>
      </c>
      <c r="Z744" s="291">
        <f>ROUND((P739*T744*F739*O739/1000000),4)</f>
        <v>0</v>
      </c>
      <c r="AA744" s="291">
        <f>ROUND((Q739*U744*F739*O739/1000000),4)</f>
        <v>0</v>
      </c>
      <c r="AB744" s="291">
        <f>ROUND((R739*V744*F739*O739/1000000),4)</f>
        <v>0</v>
      </c>
      <c r="AC744" s="292" t="s">
        <v>157</v>
      </c>
      <c r="AD744" s="293" t="s">
        <v>153</v>
      </c>
      <c r="AE744" s="294">
        <f t="shared" si="6"/>
        <v>0.36120000000000002</v>
      </c>
      <c r="AF744" s="294">
        <f t="shared" si="7"/>
        <v>17.471900000000005</v>
      </c>
      <c r="AG744" s="565">
        <f>SUM(AE739:AE744)</f>
        <v>1.0195000000000001</v>
      </c>
      <c r="AH744" s="173">
        <f>SUM(AF739:AF744)</f>
        <v>56.12080000000001</v>
      </c>
      <c r="AI744" s="577">
        <v>2029</v>
      </c>
    </row>
  </sheetData>
  <mergeCells count="123">
    <mergeCell ref="A1:AE1"/>
    <mergeCell ref="A3:AE3"/>
    <mergeCell ref="A4:AE4"/>
    <mergeCell ref="A6:AE6"/>
    <mergeCell ref="A7:AE7"/>
    <mergeCell ref="A395:AF395"/>
    <mergeCell ref="A588:S593"/>
    <mergeCell ref="A594:AF594"/>
    <mergeCell ref="A739:S744"/>
    <mergeCell ref="A32:AF32"/>
    <mergeCell ref="A389:S394"/>
    <mergeCell ref="A33:AF33"/>
    <mergeCell ref="A184:S189"/>
    <mergeCell ref="A190:AF190"/>
    <mergeCell ref="B734:B735"/>
    <mergeCell ref="B728:B729"/>
    <mergeCell ref="B721:B722"/>
    <mergeCell ref="B691:B692"/>
    <mergeCell ref="B679:B680"/>
    <mergeCell ref="B681:B682"/>
    <mergeCell ref="B655:B656"/>
    <mergeCell ref="A15:AE15"/>
    <mergeCell ref="A16:AE16"/>
    <mergeCell ref="A18:AE18"/>
    <mergeCell ref="A19:AE19"/>
    <mergeCell ref="A20:AE20"/>
    <mergeCell ref="A8:AE8"/>
    <mergeCell ref="A10:AE10"/>
    <mergeCell ref="A11:AE11"/>
    <mergeCell ref="A12:AE12"/>
    <mergeCell ref="A14:AE14"/>
    <mergeCell ref="A28:A30"/>
    <mergeCell ref="B28:B30"/>
    <mergeCell ref="C28:C30"/>
    <mergeCell ref="D28:D30"/>
    <mergeCell ref="E28:E30"/>
    <mergeCell ref="A21:AE21"/>
    <mergeCell ref="A22:AE22"/>
    <mergeCell ref="A23:AE23"/>
    <mergeCell ref="A25:AF25"/>
    <mergeCell ref="A27:AF27"/>
    <mergeCell ref="B644:B645"/>
    <mergeCell ref="B637:B638"/>
    <mergeCell ref="B639:B640"/>
    <mergeCell ref="B631:B632"/>
    <mergeCell ref="AD28:AD30"/>
    <mergeCell ref="AE28:AE30"/>
    <mergeCell ref="AF28:AF30"/>
    <mergeCell ref="S28:S30"/>
    <mergeCell ref="T28:V29"/>
    <mergeCell ref="W28:Y29"/>
    <mergeCell ref="Z28:AB29"/>
    <mergeCell ref="AC28:AC30"/>
    <mergeCell ref="K28:K30"/>
    <mergeCell ref="L28:M29"/>
    <mergeCell ref="N28:N30"/>
    <mergeCell ref="O28:O30"/>
    <mergeCell ref="P28:R29"/>
    <mergeCell ref="F28:F30"/>
    <mergeCell ref="G28:G30"/>
    <mergeCell ref="H28:H30"/>
    <mergeCell ref="I28:I30"/>
    <mergeCell ref="J28:J30"/>
    <mergeCell ref="B541:B542"/>
    <mergeCell ref="B535:B536"/>
    <mergeCell ref="B528:B529"/>
    <mergeCell ref="B530:B531"/>
    <mergeCell ref="B522:B523"/>
    <mergeCell ref="B596:B597"/>
    <mergeCell ref="B577:B578"/>
    <mergeCell ref="B583:B584"/>
    <mergeCell ref="B570:B571"/>
    <mergeCell ref="B547:B548"/>
    <mergeCell ref="B474:B475"/>
    <mergeCell ref="B462:B463"/>
    <mergeCell ref="B444:B445"/>
    <mergeCell ref="B438:B439"/>
    <mergeCell ref="B440:B441"/>
    <mergeCell ref="B516:B517"/>
    <mergeCell ref="B510:B511"/>
    <mergeCell ref="B504:B505"/>
    <mergeCell ref="B486:B487"/>
    <mergeCell ref="B488:B489"/>
    <mergeCell ref="B348:B349"/>
    <mergeCell ref="B342:B343"/>
    <mergeCell ref="B336:B337"/>
    <mergeCell ref="B329:B330"/>
    <mergeCell ref="B331:B332"/>
    <mergeCell ref="B432:B433"/>
    <mergeCell ref="B397:B398"/>
    <mergeCell ref="B384:B385"/>
    <mergeCell ref="B378:B379"/>
    <mergeCell ref="B371:B372"/>
    <mergeCell ref="B275:B276"/>
    <mergeCell ref="B263:B264"/>
    <mergeCell ref="B252:B253"/>
    <mergeCell ref="B246:B247"/>
    <mergeCell ref="B239:B240"/>
    <mergeCell ref="B323:B324"/>
    <mergeCell ref="B325:B326"/>
    <mergeCell ref="B317:B318"/>
    <mergeCell ref="B305:B306"/>
    <mergeCell ref="B287:B288"/>
    <mergeCell ref="B289:B290"/>
    <mergeCell ref="B173:B174"/>
    <mergeCell ref="B166:B167"/>
    <mergeCell ref="B143:B144"/>
    <mergeCell ref="B136:B137"/>
    <mergeCell ref="B138:B139"/>
    <mergeCell ref="B233:B234"/>
    <mergeCell ref="B235:B236"/>
    <mergeCell ref="B227:B228"/>
    <mergeCell ref="B192:B193"/>
    <mergeCell ref="B179:B180"/>
    <mergeCell ref="B95:B96"/>
    <mergeCell ref="B89:B90"/>
    <mergeCell ref="B82:B83"/>
    <mergeCell ref="B76:B77"/>
    <mergeCell ref="B130:B131"/>
    <mergeCell ref="B124:B125"/>
    <mergeCell ref="B118:B119"/>
    <mergeCell ref="B100:B101"/>
    <mergeCell ref="B102:B103"/>
  </mergeCells>
  <pageMargins left="0.31496062992125984" right="0.31496062992125984" top="0.74803149606299213" bottom="0.39370078740157483" header="0.31496062992125984" footer="0.19685039370078741"/>
  <pageSetup paperSize="9" firstPageNumber="122" orientation="landscape" useFirstPageNumber="1" r:id="rId1"/>
  <headerFooter>
    <oddFooter>&amp;R&amp;P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640BD-D130-44B2-A8AE-29F724740F81}">
  <dimension ref="A1:M513"/>
  <sheetViews>
    <sheetView view="pageBreakPreview" topLeftCell="A444" zoomScaleNormal="100" zoomScaleSheetLayoutView="100" workbookViewId="0">
      <pane xSplit="28365" ySplit="5580" topLeftCell="I499" activePane="bottomLeft"/>
      <selection activeCell="F431" sqref="F431"/>
      <selection pane="topRight" activeCell="I462" sqref="I462"/>
      <selection pane="bottomLeft" activeCell="H507" sqref="H507"/>
      <selection pane="bottomRight" activeCell="I478" sqref="I478"/>
    </sheetView>
  </sheetViews>
  <sheetFormatPr defaultRowHeight="15.75" x14ac:dyDescent="0.25"/>
  <cols>
    <col min="1" max="1" width="6.28515625" style="230" customWidth="1"/>
    <col min="2" max="2" width="18.140625" style="700" customWidth="1"/>
    <col min="3" max="3" width="9" style="713" customWidth="1"/>
    <col min="4" max="4" width="43.42578125" style="715" customWidth="1"/>
    <col min="5" max="5" width="9.140625" style="69"/>
    <col min="6" max="6" width="16.42578125" style="69" customWidth="1"/>
    <col min="7" max="7" width="15.140625" style="69" customWidth="1"/>
    <col min="8" max="8" width="13" style="69" customWidth="1"/>
    <col min="9" max="9" width="16.7109375" style="69" customWidth="1"/>
    <col min="10" max="10" width="14.42578125" style="69" customWidth="1"/>
    <col min="11" max="11" width="14.7109375" style="69" customWidth="1"/>
    <col min="12" max="13" width="13" style="70" customWidth="1"/>
    <col min="14" max="16384" width="9.140625" style="230"/>
  </cols>
  <sheetData>
    <row r="1" spans="2:13" s="614" customFormat="1" ht="21.75" customHeight="1" x14ac:dyDescent="0.3">
      <c r="B1" s="1712"/>
      <c r="C1" s="1712"/>
      <c r="D1" s="1700" t="s">
        <v>1015</v>
      </c>
      <c r="E1" s="1700"/>
      <c r="F1" s="1700"/>
      <c r="G1" s="1700"/>
      <c r="H1" s="1700"/>
      <c r="I1" s="1700"/>
      <c r="J1" s="1700"/>
      <c r="K1" s="1700"/>
      <c r="L1" s="1700"/>
      <c r="M1" s="613"/>
    </row>
    <row r="2" spans="2:13" s="615" customFormat="1" ht="12.75" customHeight="1" x14ac:dyDescent="0.3">
      <c r="B2" s="612"/>
      <c r="C2" s="614"/>
      <c r="D2" s="616"/>
      <c r="E2" s="161"/>
      <c r="F2" s="161"/>
      <c r="G2" s="161"/>
      <c r="H2" s="161"/>
      <c r="I2" s="161"/>
      <c r="J2" s="161"/>
      <c r="K2" s="161"/>
    </row>
    <row r="3" spans="2:13" s="104" customFormat="1" ht="19.5" customHeight="1" thickBot="1" x14ac:dyDescent="0.3">
      <c r="B3" s="232"/>
      <c r="C3" s="335"/>
      <c r="D3" s="617"/>
      <c r="E3" s="68"/>
      <c r="F3" s="1704" t="s">
        <v>5</v>
      </c>
      <c r="G3" s="1704"/>
      <c r="H3" s="1704" t="s">
        <v>11</v>
      </c>
      <c r="I3" s="1704"/>
      <c r="J3" s="1704" t="s">
        <v>60</v>
      </c>
      <c r="K3" s="1704"/>
      <c r="L3" s="1713" t="s">
        <v>63</v>
      </c>
      <c r="M3" s="1713"/>
    </row>
    <row r="4" spans="2:13" s="335" customFormat="1" ht="19.5" customHeight="1" x14ac:dyDescent="0.25">
      <c r="B4" s="232"/>
      <c r="C4" s="213" t="s">
        <v>901</v>
      </c>
      <c r="D4" s="213" t="s">
        <v>902</v>
      </c>
      <c r="E4" s="618" t="s">
        <v>903</v>
      </c>
      <c r="F4" s="162" t="s">
        <v>46</v>
      </c>
      <c r="G4" s="619" t="s">
        <v>45</v>
      </c>
      <c r="H4" s="620" t="s">
        <v>46</v>
      </c>
      <c r="I4" s="163" t="s">
        <v>45</v>
      </c>
      <c r="J4" s="162" t="s">
        <v>46</v>
      </c>
      <c r="K4" s="1054" t="s">
        <v>45</v>
      </c>
      <c r="L4" s="620" t="s">
        <v>46</v>
      </c>
      <c r="M4" s="619" t="s">
        <v>46</v>
      </c>
    </row>
    <row r="5" spans="2:13" s="70" customFormat="1" ht="15" customHeight="1" x14ac:dyDescent="0.25">
      <c r="B5" s="1706" t="s">
        <v>907</v>
      </c>
      <c r="C5" s="670">
        <v>7001</v>
      </c>
      <c r="D5" s="621" t="str">
        <f>'1.1 снятие ТГ бульдозер'!M38</f>
        <v>Пыль неорг.с сод-м SiO2 70-20%</v>
      </c>
      <c r="E5" s="622">
        <f>'1.1 снятие ТГ бульдозер'!N38</f>
        <v>2908</v>
      </c>
      <c r="F5" s="623">
        <f>'1.1 снятие ТГ бульдозер'!O38+'1.2погрузка экскаватором'!O29+'1.3земляные работы'!Q39</f>
        <v>0.49370000000000003</v>
      </c>
      <c r="G5" s="623">
        <f>'1.1 снятие ТГ бульдозер'!P38+'1.2погрузка экскаватором'!P29+'1.3земляные работы'!R39</f>
        <v>4.2525000000000004</v>
      </c>
      <c r="H5" s="623">
        <f>'1.1 снятие ТГ бульдозер'!O63+'1.2погрузка экскаватором'!O70+'1.3земляные работы'!Q142</f>
        <v>0.43540000000000001</v>
      </c>
      <c r="I5" s="624">
        <f>'1.1 снятие ТГ бульдозер'!P63+'1.2погрузка экскаватором'!P70+'1.3земляные работы'!R142</f>
        <v>2.9439010000000003</v>
      </c>
      <c r="J5" s="625">
        <f>'1.3земляные работы'!Q231</f>
        <v>2.92E-2</v>
      </c>
      <c r="K5" s="1055">
        <f>'1.3земляные работы'!R231</f>
        <v>0.46350000000000002</v>
      </c>
      <c r="L5" s="623"/>
      <c r="M5" s="624"/>
    </row>
    <row r="6" spans="2:13" s="70" customFormat="1" ht="15" customHeight="1" x14ac:dyDescent="0.25">
      <c r="B6" s="1707"/>
      <c r="C6" s="670">
        <v>7002</v>
      </c>
      <c r="D6" s="621" t="str">
        <f>'1.4 транспортирование'!R41</f>
        <v>Пыль неорг. с сод-м SiO2 70-20%</v>
      </c>
      <c r="E6" s="622">
        <f>'1.4 транспортирование'!S41</f>
        <v>2908</v>
      </c>
      <c r="F6" s="625">
        <f>'1.4 транспортирование'!T41</f>
        <v>6.8999999999999999E-3</v>
      </c>
      <c r="G6" s="624">
        <f>'1.4 транспортирование'!U41</f>
        <v>1.47E-2</v>
      </c>
      <c r="H6" s="623">
        <f>'1.4 транспортирование'!T101</f>
        <v>5.6999999999999993E-3</v>
      </c>
      <c r="I6" s="624">
        <f>'1.4 транспортирование'!U101</f>
        <v>6.7030000000000006E-3</v>
      </c>
      <c r="J6" s="625">
        <f>'1.4 транспортирование'!T172</f>
        <v>6.7999999999999996E-3</v>
      </c>
      <c r="K6" s="1055">
        <f>'1.4 транспортирование'!U172</f>
        <v>2.18E-2</v>
      </c>
      <c r="L6" s="623"/>
      <c r="M6" s="624"/>
    </row>
    <row r="7" spans="2:13" s="70" customFormat="1" ht="15" customHeight="1" x14ac:dyDescent="0.25">
      <c r="B7" s="1707"/>
      <c r="C7" s="670">
        <v>7003</v>
      </c>
      <c r="D7" s="621" t="str">
        <f>'1.5пересыпка материалов'!N38</f>
        <v>Пыль неорг.с сод-м SiO2 70-20%</v>
      </c>
      <c r="E7" s="622" t="str">
        <f>'1.5пересыпка материалов'!O38</f>
        <v>2908</v>
      </c>
      <c r="F7" s="625">
        <f>'1.5пересыпка материалов'!Q38</f>
        <v>3.73E-2</v>
      </c>
      <c r="G7" s="125">
        <f>'1.5пересыпка материалов'!R38</f>
        <v>2.8E-3</v>
      </c>
      <c r="H7" s="623"/>
      <c r="I7" s="624"/>
      <c r="J7" s="625">
        <f>'1.5пересыпка материалов'!Q73</f>
        <v>0.1167</v>
      </c>
      <c r="K7" s="1055">
        <f>'1.5пересыпка материалов'!R73</f>
        <v>7.4740000000000001E-2</v>
      </c>
      <c r="L7" s="623">
        <f>'1.5пересыпка материалов'!Q98</f>
        <v>0.23330000000000001</v>
      </c>
      <c r="M7" s="624">
        <f>'1.5пересыпка материалов'!R98</f>
        <v>1.291E-2</v>
      </c>
    </row>
    <row r="8" spans="2:13" s="70" customFormat="1" ht="15" customHeight="1" x14ac:dyDescent="0.25">
      <c r="B8" s="1707"/>
      <c r="C8" s="671">
        <v>7004</v>
      </c>
      <c r="D8" s="139" t="str">
        <f>'1.6укладка асфальтобетона'!F41</f>
        <v>Углеводороды  предельные С12-С19</v>
      </c>
      <c r="E8" s="231" t="str">
        <f>'1.6укладка асфальтобетона'!G41</f>
        <v>2754</v>
      </c>
      <c r="F8" s="121"/>
      <c r="G8" s="231"/>
      <c r="H8" s="130"/>
      <c r="I8" s="129"/>
      <c r="J8" s="121"/>
      <c r="K8" s="1056"/>
      <c r="L8" s="130">
        <f>'1.6укладка асфальтобетона'!H41</f>
        <v>0.86509999999999998</v>
      </c>
      <c r="M8" s="129">
        <f>'1.6укладка асфальтобетона'!I41</f>
        <v>2.6160000000000001</v>
      </c>
    </row>
    <row r="9" spans="2:13" s="70" customFormat="1" ht="15" customHeight="1" x14ac:dyDescent="0.25">
      <c r="B9" s="1707"/>
      <c r="C9" s="668"/>
      <c r="D9" s="141" t="str">
        <f>'1.5пересыпка материалов'!N122</f>
        <v>Пыль неорг.с сод-м SiO2 70-20%</v>
      </c>
      <c r="E9" s="126" t="str">
        <f>'1.5пересыпка материалов'!O122</f>
        <v>2908</v>
      </c>
      <c r="F9" s="122"/>
      <c r="G9" s="143"/>
      <c r="H9" s="164"/>
      <c r="I9" s="127"/>
      <c r="J9" s="122">
        <f>'1.5пересыпка материалов'!Q122</f>
        <v>4.7000000000000002E-3</v>
      </c>
      <c r="K9" s="1057">
        <f>'1.5пересыпка материалов'!R122</f>
        <v>4.5700000000000005E-2</v>
      </c>
      <c r="L9" s="164"/>
      <c r="M9" s="127"/>
    </row>
    <row r="10" spans="2:13" ht="15" customHeight="1" x14ac:dyDescent="0.25">
      <c r="B10" s="1707"/>
      <c r="C10" s="671">
        <v>7005</v>
      </c>
      <c r="D10" s="139" t="str">
        <f>'1.7покраска'!K63</f>
        <v>Уайт-спирит</v>
      </c>
      <c r="E10" s="140" t="str">
        <f>'1.7покраска'!L63</f>
        <v>2752</v>
      </c>
      <c r="F10" s="121">
        <f>'1.7покраска'!M63</f>
        <v>3.1300000000000001E-2</v>
      </c>
      <c r="G10" s="129">
        <f>'1.7покраска'!N63</f>
        <v>3.2000000000000002E-3</v>
      </c>
      <c r="H10" s="130"/>
      <c r="I10" s="129"/>
      <c r="J10" s="121">
        <f>'1.7покраска'!M269</f>
        <v>3.1300000000000001E-2</v>
      </c>
      <c r="K10" s="1056">
        <f>'1.7покраска'!N269</f>
        <v>6.3100000000000003E-2</v>
      </c>
      <c r="L10" s="130">
        <f>'1.7покраска'!M451</f>
        <v>4.5600000000000002E-2</v>
      </c>
      <c r="M10" s="129">
        <f>'1.7покраска'!N451</f>
        <v>0.1517</v>
      </c>
    </row>
    <row r="11" spans="2:13" ht="15" customHeight="1" x14ac:dyDescent="0.25">
      <c r="B11" s="1707"/>
      <c r="C11" s="716"/>
      <c r="D11" s="141" t="str">
        <f>'1.7покраска'!K64</f>
        <v>Ксилол</v>
      </c>
      <c r="E11" s="143" t="str">
        <f>'1.7покраска'!L64</f>
        <v>0616</v>
      </c>
      <c r="F11" s="122">
        <f>'1.7покраска'!M64</f>
        <v>7.7799999999999994E-2</v>
      </c>
      <c r="G11" s="127">
        <f>'1.7покраска'!N64</f>
        <v>0.22167999999999999</v>
      </c>
      <c r="H11" s="164"/>
      <c r="I11" s="127"/>
      <c r="J11" s="122">
        <f>'1.7покраска'!M270</f>
        <v>5.5599999999999997E-2</v>
      </c>
      <c r="K11" s="1053">
        <f>'1.7покраска'!N270</f>
        <v>0.14377000000000001</v>
      </c>
      <c r="L11" s="164">
        <f>'1.7покраска'!M452</f>
        <v>7.7799999999999994E-2</v>
      </c>
      <c r="M11" s="127">
        <f>'1.7покраска'!N452</f>
        <v>0.17136000000000001</v>
      </c>
    </row>
    <row r="12" spans="2:13" ht="15" customHeight="1" x14ac:dyDescent="0.25">
      <c r="B12" s="1707"/>
      <c r="C12" s="716"/>
      <c r="D12" s="141" t="str">
        <f>'1.7покраска'!K65</f>
        <v>Сольвент</v>
      </c>
      <c r="E12" s="143" t="str">
        <f>'1.7покраска'!L65</f>
        <v>2750</v>
      </c>
      <c r="F12" s="122">
        <f>'1.7покраска'!M65</f>
        <v>2.2800000000000001E-2</v>
      </c>
      <c r="G12" s="127">
        <f>'1.7покраска'!N65</f>
        <v>3.0000000000000001E-3</v>
      </c>
      <c r="H12" s="164"/>
      <c r="I12" s="127"/>
      <c r="J12" s="122">
        <f>'1.7покраска'!M271</f>
        <v>2.7799999999999998E-2</v>
      </c>
      <c r="K12" s="1053">
        <f>'1.7покраска'!N271</f>
        <v>5.4800000000000001E-2</v>
      </c>
      <c r="L12" s="164">
        <f>'1.7покраска'!M453</f>
        <v>4.5600000000000002E-2</v>
      </c>
      <c r="M12" s="127">
        <f>'1.7покраска'!N453</f>
        <v>4.6399999999999997E-2</v>
      </c>
    </row>
    <row r="13" spans="2:13" ht="15" customHeight="1" x14ac:dyDescent="0.25">
      <c r="B13" s="1707"/>
      <c r="C13" s="716"/>
      <c r="D13" s="141" t="str">
        <f>'1.7покраска'!K66</f>
        <v>Бутиловый спирт</v>
      </c>
      <c r="E13" s="143" t="str">
        <f>'1.7покраска'!L66</f>
        <v>1042</v>
      </c>
      <c r="F13" s="122">
        <f>'1.7покраска'!M66</f>
        <v>4.3E-3</v>
      </c>
      <c r="G13" s="127">
        <f>'1.7покраска'!N66</f>
        <v>9.9399999999999992E-3</v>
      </c>
      <c r="H13" s="164"/>
      <c r="I13" s="127"/>
      <c r="J13" s="122">
        <f>'1.7покраска'!M272</f>
        <v>4.3E-3</v>
      </c>
      <c r="K13" s="1053">
        <f>'1.7покраска'!N272</f>
        <v>4.1599999999999996E-3</v>
      </c>
      <c r="L13" s="164">
        <f>'1.7покраска'!M454</f>
        <v>4.3E-3</v>
      </c>
      <c r="M13" s="127">
        <f>'1.7покраска'!N454</f>
        <v>1.7799999999999999E-3</v>
      </c>
    </row>
    <row r="14" spans="2:13" ht="15" customHeight="1" x14ac:dyDescent="0.25">
      <c r="B14" s="1707"/>
      <c r="C14" s="716"/>
      <c r="D14" s="141" t="str">
        <f>'1.7покраска'!K67</f>
        <v>Ацетон</v>
      </c>
      <c r="E14" s="143" t="str">
        <f>'1.7покраска'!L67</f>
        <v>1401</v>
      </c>
      <c r="F14" s="122">
        <f>'1.7покраска'!M67</f>
        <v>4.3E-3</v>
      </c>
      <c r="G14" s="127">
        <f>'1.7покраска'!N67</f>
        <v>9.9000000000000008E-3</v>
      </c>
      <c r="H14" s="164"/>
      <c r="I14" s="127"/>
      <c r="J14" s="122">
        <f>'1.7покраска'!M273</f>
        <v>4.3E-3</v>
      </c>
      <c r="K14" s="1053">
        <f>'1.7покраска'!N273</f>
        <v>4.1999999999999997E-3</v>
      </c>
      <c r="L14" s="164">
        <f>'1.7покраска'!M455</f>
        <v>4.3E-3</v>
      </c>
      <c r="M14" s="127">
        <f>'1.7покраска'!N455</f>
        <v>1.8E-3</v>
      </c>
    </row>
    <row r="15" spans="2:13" ht="15" customHeight="1" x14ac:dyDescent="0.25">
      <c r="B15" s="1707"/>
      <c r="C15" s="716"/>
      <c r="D15" s="141" t="str">
        <f>'1.7покраска'!K68</f>
        <v>Бутилацетат</v>
      </c>
      <c r="E15" s="143" t="str">
        <f>'1.7покраска'!L68</f>
        <v>1210</v>
      </c>
      <c r="F15" s="122">
        <f>'1.7покраска'!M68</f>
        <v>3.5099999999999999E-2</v>
      </c>
      <c r="G15" s="127">
        <f>'1.7покраска'!N68</f>
        <v>0.1368</v>
      </c>
      <c r="H15" s="164"/>
      <c r="I15" s="127"/>
      <c r="J15" s="122">
        <f>'1.7покраска'!M274</f>
        <v>3.5099999999999999E-2</v>
      </c>
      <c r="K15" s="1053">
        <f>'1.7покраска'!N274</f>
        <v>5.7200000000000001E-2</v>
      </c>
      <c r="L15" s="164">
        <f>'1.7покраска'!M456</f>
        <v>3.5099999999999999E-2</v>
      </c>
      <c r="M15" s="127">
        <f>'1.7покраска'!N456</f>
        <v>1.6199999999999999E-2</v>
      </c>
    </row>
    <row r="16" spans="2:13" ht="15" customHeight="1" x14ac:dyDescent="0.25">
      <c r="B16" s="1707"/>
      <c r="C16" s="716"/>
      <c r="D16" s="141" t="str">
        <f>'1.7покраска'!K69</f>
        <v>Этилацетат</v>
      </c>
      <c r="E16" s="143" t="str">
        <f>'1.7покраска'!L69</f>
        <v>1240</v>
      </c>
      <c r="F16" s="122">
        <f>'1.7покраска'!M69</f>
        <v>1.7000000000000001E-2</v>
      </c>
      <c r="G16" s="127">
        <f>'1.7покраска'!N69</f>
        <v>3.9800000000000002E-2</v>
      </c>
      <c r="H16" s="164"/>
      <c r="I16" s="127"/>
      <c r="J16" s="122">
        <f>'1.7покраска'!M275</f>
        <v>1.7000000000000001E-2</v>
      </c>
      <c r="K16" s="1053">
        <f>'1.7покраска'!N275</f>
        <v>1.67E-2</v>
      </c>
      <c r="L16" s="164">
        <f>'1.7покраска'!M457</f>
        <v>1.7000000000000001E-2</v>
      </c>
      <c r="M16" s="127">
        <f>'1.7покраска'!N457</f>
        <v>7.1000000000000004E-3</v>
      </c>
    </row>
    <row r="17" spans="2:13" ht="15" customHeight="1" x14ac:dyDescent="0.25">
      <c r="B17" s="1707"/>
      <c r="C17" s="717"/>
      <c r="D17" s="142" t="str">
        <f>'1.7покраска'!K70</f>
        <v>Толуол</v>
      </c>
      <c r="E17" s="124" t="str">
        <f>'1.7покраска'!L70</f>
        <v>0621</v>
      </c>
      <c r="F17" s="123">
        <f>'1.7покраска'!M70</f>
        <v>4.5699999999999998E-2</v>
      </c>
      <c r="G17" s="128">
        <f>'1.7покраска'!N70</f>
        <v>0.10680000000000001</v>
      </c>
      <c r="H17" s="165"/>
      <c r="I17" s="128"/>
      <c r="J17" s="123">
        <f>'1.7покраска'!M276</f>
        <v>4.5699999999999998E-2</v>
      </c>
      <c r="K17" s="1057">
        <f>'1.7покраска'!N276</f>
        <v>4.48E-2</v>
      </c>
      <c r="L17" s="165">
        <f>'1.7покраска'!M458</f>
        <v>4.5699999999999998E-2</v>
      </c>
      <c r="M17" s="128">
        <f>'1.7покраска'!N458</f>
        <v>1.9199999999999998E-2</v>
      </c>
    </row>
    <row r="18" spans="2:13" ht="15" customHeight="1" x14ac:dyDescent="0.25">
      <c r="B18" s="1707"/>
      <c r="C18" s="1052">
        <v>700601</v>
      </c>
      <c r="D18" s="139" t="str">
        <f>'1.8 сварка'!G34</f>
        <v>Фтористые газ.соед</v>
      </c>
      <c r="E18" s="129" t="str">
        <f>'1.8 сварка'!H34</f>
        <v>0342</v>
      </c>
      <c r="F18" s="122">
        <f>'1.8 сварка'!J34</f>
        <v>4.4999999999999997E-3</v>
      </c>
      <c r="G18" s="127">
        <f>'1.8 сварка'!K34</f>
        <v>2.29E-2</v>
      </c>
      <c r="H18" s="130">
        <f>'1.8 сварка'!J107</f>
        <v>1.06E-2</v>
      </c>
      <c r="I18" s="129">
        <f>'1.8 сварка'!K107</f>
        <v>3.27E-2</v>
      </c>
      <c r="J18" s="121">
        <f>'1.8 сварка'!J228</f>
        <v>1.0200000000000001E-2</v>
      </c>
      <c r="K18" s="1056">
        <f>'1.8 сварка'!K228</f>
        <v>9.4600000000000004E-2</v>
      </c>
      <c r="L18" s="130">
        <f>'1.8 сварка'!J349</f>
        <v>1.5599999999999999E-2</v>
      </c>
      <c r="M18" s="129">
        <f>'1.8 сварка'!K349</f>
        <v>1.61E-2</v>
      </c>
    </row>
    <row r="19" spans="2:13" ht="15" customHeight="1" x14ac:dyDescent="0.25">
      <c r="B19" s="1707"/>
      <c r="C19" s="716"/>
      <c r="D19" s="141" t="str">
        <f>'1.8 сварка'!G35</f>
        <v>Диоксид азота</v>
      </c>
      <c r="E19" s="127" t="str">
        <f>'1.8 сварка'!H35</f>
        <v>0301</v>
      </c>
      <c r="F19" s="122">
        <f>'1.8 сварка'!J35</f>
        <v>8.8999999999999999E-3</v>
      </c>
      <c r="G19" s="127">
        <f>'1.8 сварка'!K35</f>
        <v>4.5900000000000003E-2</v>
      </c>
      <c r="H19" s="164">
        <f>'1.8 сварка'!J108</f>
        <v>2.12E-2</v>
      </c>
      <c r="I19" s="127">
        <f>'1.8 сварка'!K108</f>
        <v>6.54E-2</v>
      </c>
      <c r="J19" s="122">
        <f>'1.8 сварка'!J229</f>
        <v>2.0400000000000001E-2</v>
      </c>
      <c r="K19" s="1053">
        <f>'1.8 сварка'!K229</f>
        <v>0.18920000000000001</v>
      </c>
      <c r="L19" s="164">
        <f>'1.8 сварка'!J350</f>
        <v>3.1199999999999999E-2</v>
      </c>
      <c r="M19" s="127">
        <f>'1.8 сварка'!K350</f>
        <v>3.2099999999999997E-2</v>
      </c>
    </row>
    <row r="20" spans="2:13" ht="15" customHeight="1" x14ac:dyDescent="0.25">
      <c r="B20" s="1707"/>
      <c r="C20" s="716"/>
      <c r="D20" s="141" t="str">
        <f>'1.8 сварка'!G36</f>
        <v>Марганец и его соед.</v>
      </c>
      <c r="E20" s="127" t="str">
        <f>'1.8 сварка'!H36</f>
        <v>0143</v>
      </c>
      <c r="F20" s="122">
        <f>'1.8 сварка'!J36</f>
        <v>5.4999999999999997E-3</v>
      </c>
      <c r="G20" s="127">
        <f>'1.8 сварка'!K36</f>
        <v>2.81E-2</v>
      </c>
      <c r="H20" s="164">
        <f>'1.8 сварка'!J109</f>
        <v>1.2999999999999999E-2</v>
      </c>
      <c r="I20" s="127">
        <f>'1.8 сварка'!K109</f>
        <v>4.0099999999999997E-2</v>
      </c>
      <c r="J20" s="122">
        <f>'1.8 сварка'!J230</f>
        <v>1.2500000000000001E-2</v>
      </c>
      <c r="K20" s="1053">
        <f>'1.8 сварка'!K230</f>
        <v>0.11600000000000001</v>
      </c>
      <c r="L20" s="164">
        <f>'1.8 сварка'!J351</f>
        <v>1.9099999999999999E-2</v>
      </c>
      <c r="M20" s="127">
        <f>'1.8 сварка'!K351</f>
        <v>1.9699999999999999E-2</v>
      </c>
    </row>
    <row r="21" spans="2:13" ht="15" customHeight="1" x14ac:dyDescent="0.25">
      <c r="B21" s="1707"/>
      <c r="C21" s="716"/>
      <c r="D21" s="141" t="str">
        <f>'1.8 сварка'!G37</f>
        <v>Фториды</v>
      </c>
      <c r="E21" s="127" t="str">
        <f>'1.8 сварка'!H37</f>
        <v>0344</v>
      </c>
      <c r="F21" s="122">
        <f>'1.8 сварка'!J37</f>
        <v>1.9599999999999999E-2</v>
      </c>
      <c r="G21" s="127">
        <f>'1.8 сварка'!K37</f>
        <v>0.1009</v>
      </c>
      <c r="H21" s="164">
        <f>'1.8 сварка'!J110</f>
        <v>4.6600000000000003E-2</v>
      </c>
      <c r="I21" s="127">
        <f>'1.8 сварка'!K110</f>
        <v>0.14399999999999999</v>
      </c>
      <c r="J21" s="122">
        <f>'1.8 сварка'!J231</f>
        <v>4.4900000000000002E-2</v>
      </c>
      <c r="K21" s="1053">
        <f>'1.8 сварка'!K231</f>
        <v>0.41610000000000003</v>
      </c>
      <c r="L21" s="164">
        <f>'1.8 сварка'!J352</f>
        <v>6.8699999999999997E-2</v>
      </c>
      <c r="M21" s="127">
        <f>'1.8 сварка'!K352</f>
        <v>7.0699999999999999E-2</v>
      </c>
    </row>
    <row r="22" spans="2:13" ht="15" customHeight="1" x14ac:dyDescent="0.25">
      <c r="B22" s="1707"/>
      <c r="C22" s="716"/>
      <c r="D22" s="141" t="str">
        <f>'1.8 сварка'!G38</f>
        <v>Железа оксид</v>
      </c>
      <c r="E22" s="127" t="str">
        <f>'1.8 сварка'!H38</f>
        <v>0123</v>
      </c>
      <c r="F22" s="122">
        <f>'1.8 сварка'!J38</f>
        <v>6.3500000000000001E-2</v>
      </c>
      <c r="G22" s="127">
        <f>'1.8 сварка'!K38</f>
        <v>0.32679999999999998</v>
      </c>
      <c r="H22" s="164">
        <f>'1.8 сварка'!J111</f>
        <v>0.15079999999999999</v>
      </c>
      <c r="I22" s="127">
        <f>'1.8 сварка'!K111</f>
        <v>0.46639999999999998</v>
      </c>
      <c r="J22" s="122">
        <f>'1.8 сварка'!J232</f>
        <v>0.14549999999999999</v>
      </c>
      <c r="K22" s="1053">
        <f>'1.8 сварка'!K232</f>
        <v>1.3481000000000001</v>
      </c>
      <c r="L22" s="164">
        <f>'1.8 сварка'!J353</f>
        <v>0.22239999999999999</v>
      </c>
      <c r="M22" s="127">
        <f>'1.8 сварка'!K353</f>
        <v>0.2291</v>
      </c>
    </row>
    <row r="23" spans="2:13" ht="15" customHeight="1" x14ac:dyDescent="0.25">
      <c r="B23" s="1707"/>
      <c r="C23" s="716"/>
      <c r="D23" s="141" t="str">
        <f>'1.8 сварка'!G39</f>
        <v>Пыль неорг.с сод-м SiO2 70-20 %</v>
      </c>
      <c r="E23" s="127">
        <f>'1.8 сварка'!H39</f>
        <v>2908</v>
      </c>
      <c r="F23" s="122">
        <f>'1.8 сварка'!J39</f>
        <v>8.3000000000000001E-3</v>
      </c>
      <c r="G23" s="127">
        <f>'1.8 сварка'!K39</f>
        <v>4.2799999999999998E-2</v>
      </c>
      <c r="H23" s="164">
        <f>'1.8 сварка'!J112</f>
        <v>1.9800000000000002E-2</v>
      </c>
      <c r="I23" s="127">
        <f>'1.8 сварка'!K112</f>
        <v>6.1100000000000002E-2</v>
      </c>
      <c r="J23" s="122">
        <f>'1.8 сварка'!J233</f>
        <v>1.9099999999999999E-2</v>
      </c>
      <c r="K23" s="1053">
        <f>'1.8 сварка'!K233</f>
        <v>0.17649999999999999</v>
      </c>
      <c r="L23" s="164">
        <f>'1.8 сварка'!J354</f>
        <v>2.9100000000000001E-2</v>
      </c>
      <c r="M23" s="127">
        <f>'1.8 сварка'!K354</f>
        <v>0.03</v>
      </c>
    </row>
    <row r="24" spans="2:13" ht="15" customHeight="1" x14ac:dyDescent="0.25">
      <c r="B24" s="1707"/>
      <c r="C24" s="716"/>
      <c r="D24" s="141" t="str">
        <f>'1.8 сварка'!G40</f>
        <v>Оксид углерода</v>
      </c>
      <c r="E24" s="127" t="str">
        <f>'1.8 сварка'!H40</f>
        <v>0337</v>
      </c>
      <c r="F24" s="164">
        <f>'1.8 сварка'!J40</f>
        <v>7.9100000000000004E-2</v>
      </c>
      <c r="G24" s="127">
        <f>'1.8 сварка'!K40</f>
        <v>0.40660000000000002</v>
      </c>
      <c r="H24" s="164">
        <f>'1.8 сварка'!J113+'1.9сварка полиэтилена'!H45</f>
        <v>0.18770010000000001</v>
      </c>
      <c r="I24" s="127">
        <f>'1.8 сварка'!K113+'1.9сварка полиэтилена'!I45</f>
        <v>0.58020004000000003</v>
      </c>
      <c r="J24" s="122">
        <f>'1.8 сварка'!J234+'1.9сварка полиэтилена'!H73</f>
        <v>0.181001</v>
      </c>
      <c r="K24" s="1053">
        <f>'1.8 сварка'!K234+'1.9сварка полиэтилена'!I73</f>
        <v>1.6772009999999999</v>
      </c>
      <c r="L24" s="164">
        <f>'1.8 сварка'!J355+'1.9сварка полиэтилена'!H104</f>
        <v>0.2767001</v>
      </c>
      <c r="M24" s="127">
        <f>'1.8 сварка'!K355+'1.9сварка полиэтилена'!I104</f>
        <v>0.28500009999999998</v>
      </c>
    </row>
    <row r="25" spans="2:13" ht="15" customHeight="1" x14ac:dyDescent="0.25">
      <c r="B25" s="1707"/>
      <c r="C25" s="717"/>
      <c r="D25" s="141" t="str">
        <f>'1.9сварка полиэтилена'!F46</f>
        <v>Хлорэтилен /Винилхлорид/</v>
      </c>
      <c r="E25" s="143" t="str">
        <f>'1.9сварка полиэтилена'!G46</f>
        <v>0827</v>
      </c>
      <c r="F25" s="123"/>
      <c r="G25" s="128"/>
      <c r="H25" s="165">
        <f>'1.9сварка полиэтилена'!H46</f>
        <v>9.9999999999999995E-8</v>
      </c>
      <c r="I25" s="128">
        <f>'1.9сварка полиэтилена'!I46</f>
        <v>2E-8</v>
      </c>
      <c r="J25" s="123">
        <f>'1.9сварка полиэтилена'!H74</f>
        <v>1.9999999999999999E-7</v>
      </c>
      <c r="K25" s="1057">
        <f>'1.9сварка полиэтилена'!I74</f>
        <v>1.9999999999999999E-7</v>
      </c>
      <c r="L25" s="165">
        <f>'1.9сварка полиэтилена'!H105</f>
        <v>9.9999999999999995E-8</v>
      </c>
      <c r="M25" s="128">
        <f>'1.9сварка полиэтилена'!I105</f>
        <v>4.9999999999999998E-8</v>
      </c>
    </row>
    <row r="26" spans="2:13" s="706" customFormat="1" ht="15" customHeight="1" x14ac:dyDescent="0.25">
      <c r="B26" s="1707"/>
      <c r="C26" s="1070" t="s">
        <v>1257</v>
      </c>
      <c r="D26" s="1071" t="str">
        <f>'1.8.1сварка доп'!L27</f>
        <v>Железа оксид</v>
      </c>
      <c r="E26" s="1072" t="str">
        <f>'1.8.1сварка доп'!M27</f>
        <v>0123</v>
      </c>
      <c r="F26" s="1073">
        <f>'1.8.1сварка доп'!O27</f>
        <v>0.25763999999999998</v>
      </c>
      <c r="G26" s="1073">
        <f>'1.8.1сварка доп'!P27</f>
        <v>1.0489999999999999E-2</v>
      </c>
      <c r="H26" s="1074">
        <f>'1.8.1сварка доп'!O56</f>
        <v>0.26600999999999997</v>
      </c>
      <c r="I26" s="1075">
        <f>'1.8.1сварка доп'!P56</f>
        <v>3.5619999999999992E-2</v>
      </c>
      <c r="J26" s="1076">
        <f>'1.8.1сварка доп'!O85</f>
        <v>0.26600999999999997</v>
      </c>
      <c r="K26" s="1077">
        <f>'1.8.1сварка доп'!P85</f>
        <v>3.5619999999999992E-2</v>
      </c>
      <c r="L26" s="1074">
        <f>'1.8.1сварка доп'!O114</f>
        <v>0.25763999999999998</v>
      </c>
      <c r="M26" s="1078">
        <f>'1.8.1сварка доп'!P114</f>
        <v>1.0489999999999999E-2</v>
      </c>
    </row>
    <row r="27" spans="2:13" s="706" customFormat="1" ht="15" customHeight="1" x14ac:dyDescent="0.25">
      <c r="B27" s="1707"/>
      <c r="C27" s="1079"/>
      <c r="D27" s="1080" t="str">
        <f>'1.8.1сварка доп'!L28</f>
        <v>Марганец и его соед.</v>
      </c>
      <c r="E27" s="1081" t="str">
        <f>'1.8.1сварка доп'!M28</f>
        <v>0143</v>
      </c>
      <c r="F27" s="1073">
        <f>'1.8.1сварка доп'!O28</f>
        <v>4.8319999999999995E-2</v>
      </c>
      <c r="G27" s="1073">
        <f>'1.8.1сварка доп'!P28</f>
        <v>2.1819999999999999E-3</v>
      </c>
      <c r="H27" s="1082">
        <f>'1.8.1сварка доп'!O57</f>
        <v>4.9859999999999995E-2</v>
      </c>
      <c r="I27" s="1081">
        <f>'1.8.1сварка доп'!P57</f>
        <v>7.4999999999999989E-3</v>
      </c>
      <c r="J27" s="1073">
        <f>'1.8.1сварка доп'!O86</f>
        <v>4.9859999999999995E-2</v>
      </c>
      <c r="K27" s="1083">
        <f>'1.8.1сварка доп'!P86</f>
        <v>7.4999999999999989E-3</v>
      </c>
      <c r="L27" s="1082">
        <f>'1.8.1сварка доп'!O115</f>
        <v>4.8319999999999995E-2</v>
      </c>
      <c r="M27" s="1081">
        <f>'1.8.1сварка доп'!P115</f>
        <v>2.1819999999999999E-3</v>
      </c>
    </row>
    <row r="28" spans="2:13" s="706" customFormat="1" ht="15" customHeight="1" x14ac:dyDescent="0.25">
      <c r="B28" s="1707"/>
      <c r="C28" s="1079"/>
      <c r="D28" s="1080" t="str">
        <f>'1.8.1сварка доп'!L29</f>
        <v>Никель оксид</v>
      </c>
      <c r="E28" s="1081" t="str">
        <f>'1.8.1сварка доп'!M29</f>
        <v>0164</v>
      </c>
      <c r="F28" s="1073">
        <f>'1.8.1сварка доп'!O29</f>
        <v>9.7900000000000001E-3</v>
      </c>
      <c r="G28" s="1073">
        <f>'1.8.1сварка доп'!P29</f>
        <v>4.2999999999999994E-4</v>
      </c>
      <c r="H28" s="1082">
        <f>'1.8.1сварка доп'!O58</f>
        <v>9.2800000000000001E-3</v>
      </c>
      <c r="I28" s="1081">
        <f>'1.8.1сварка доп'!P58</f>
        <v>1.33E-3</v>
      </c>
      <c r="J28" s="1073">
        <f>'1.8.1сварка доп'!O87</f>
        <v>9.2800000000000001E-3</v>
      </c>
      <c r="K28" s="1083">
        <f>'1.8.1сварка доп'!P87</f>
        <v>1.33E-3</v>
      </c>
      <c r="L28" s="1082">
        <f>'1.8.1сварка доп'!O116</f>
        <v>9.7900000000000001E-3</v>
      </c>
      <c r="M28" s="1081">
        <f>'1.8.1сварка доп'!P116</f>
        <v>4.2999999999999994E-4</v>
      </c>
    </row>
    <row r="29" spans="2:13" s="706" customFormat="1" ht="15" customHeight="1" x14ac:dyDescent="0.25">
      <c r="B29" s="1707"/>
      <c r="C29" s="1079"/>
      <c r="D29" s="1080" t="str">
        <f>'1.8.1сварка доп'!L30</f>
        <v>Озон</v>
      </c>
      <c r="E29" s="1081" t="str">
        <f>'1.8.1сварка доп'!M30</f>
        <v>0326</v>
      </c>
      <c r="F29" s="1073">
        <f>'1.8.1сварка доп'!O30</f>
        <v>2.14E-3</v>
      </c>
      <c r="G29" s="1073">
        <f>'1.8.1сварка доп'!P30</f>
        <v>1.6000000000000001E-4</v>
      </c>
      <c r="H29" s="1082">
        <f>'1.8.1сварка доп'!O59</f>
        <v>2.14E-3</v>
      </c>
      <c r="I29" s="1081">
        <f>'1.8.1сварка доп'!P59</f>
        <v>5.1999999999999995E-4</v>
      </c>
      <c r="J29" s="1073">
        <f>'1.8.1сварка доп'!O88</f>
        <v>2.14E-3</v>
      </c>
      <c r="K29" s="1083">
        <f>'1.8.1сварка доп'!P88</f>
        <v>5.1999999999999995E-4</v>
      </c>
      <c r="L29" s="1082">
        <f>'1.8.1сварка доп'!O117</f>
        <v>2.14E-3</v>
      </c>
      <c r="M29" s="1081">
        <f>'1.8.1сварка доп'!P117</f>
        <v>1.6000000000000001E-4</v>
      </c>
    </row>
    <row r="30" spans="2:13" s="706" customFormat="1" ht="15" customHeight="1" x14ac:dyDescent="0.25">
      <c r="B30" s="1707"/>
      <c r="C30" s="1079"/>
      <c r="D30" s="1080" t="str">
        <f>'1.8.1сварка доп'!L31</f>
        <v>Медь (II) оксид</v>
      </c>
      <c r="E30" s="1081" t="str">
        <f>'1.8.1сварка доп'!M31</f>
        <v>0146</v>
      </c>
      <c r="F30" s="1073">
        <f>'1.8.1сварка доп'!O31</f>
        <v>0.10151</v>
      </c>
      <c r="G30" s="1073">
        <f>'1.8.1сварка доп'!P31</f>
        <v>3.7099999999999998E-3</v>
      </c>
      <c r="H30" s="1082">
        <f>'1.8.1сварка доп'!O60</f>
        <v>9.5009999999999997E-2</v>
      </c>
      <c r="I30" s="1081">
        <f>'1.8.1сварка доп'!P60</f>
        <v>1.1170000000000001E-2</v>
      </c>
      <c r="J30" s="1073">
        <f>'1.8.1сварка доп'!O89</f>
        <v>9.5009999999999997E-2</v>
      </c>
      <c r="K30" s="1083">
        <f>'1.8.1сварка доп'!P89</f>
        <v>1.1170000000000001E-2</v>
      </c>
      <c r="L30" s="1082">
        <f>'1.8.1сварка доп'!O118</f>
        <v>0.10151</v>
      </c>
      <c r="M30" s="1081">
        <f>'1.8.1сварка доп'!P118</f>
        <v>3.7099999999999998E-3</v>
      </c>
    </row>
    <row r="31" spans="2:13" s="706" customFormat="1" ht="15" customHeight="1" x14ac:dyDescent="0.25">
      <c r="B31" s="1707"/>
      <c r="C31" s="1079"/>
      <c r="D31" s="1080" t="str">
        <f>'1.8.1сварка доп'!L32</f>
        <v>Пыль 70-20 % SiO2</v>
      </c>
      <c r="E31" s="1081" t="str">
        <f>'1.8.1сварка доп'!M32</f>
        <v>2908</v>
      </c>
      <c r="F31" s="1073">
        <f>'1.8.1сварка доп'!O32</f>
        <v>2.6939999999999999E-2</v>
      </c>
      <c r="G31" s="1073">
        <f>'1.8.1сварка доп'!P32</f>
        <v>1.07E-3</v>
      </c>
      <c r="H31" s="1082">
        <f>'1.8.1сварка доп'!O61</f>
        <v>2.6210000000000001E-2</v>
      </c>
      <c r="I31" s="1081">
        <f>'1.8.1сварка доп'!P61</f>
        <v>3.4299999999999999E-3</v>
      </c>
      <c r="J31" s="1073">
        <f>'1.8.1сварка доп'!O90</f>
        <v>2.6210000000000001E-2</v>
      </c>
      <c r="K31" s="1083">
        <f>'1.8.1сварка доп'!P90</f>
        <v>3.4299999999999999E-3</v>
      </c>
      <c r="L31" s="1082">
        <f>'1.8.1сварка доп'!O119</f>
        <v>2.6939999999999999E-2</v>
      </c>
      <c r="M31" s="1081">
        <f>'1.8.1сварка доп'!P119</f>
        <v>1.07E-3</v>
      </c>
    </row>
    <row r="32" spans="2:13" s="706" customFormat="1" ht="15" customHeight="1" x14ac:dyDescent="0.25">
      <c r="B32" s="1707"/>
      <c r="C32" s="1079"/>
      <c r="D32" s="1080" t="str">
        <f>'1.8.1сварка доп'!L33</f>
        <v>Азота диоксид</v>
      </c>
      <c r="E32" s="1081" t="str">
        <f>'1.8.1сварка доп'!M33</f>
        <v>0301</v>
      </c>
      <c r="F32" s="1073">
        <f>'1.8.1сварка доп'!O33</f>
        <v>1.9820000000000001E-2</v>
      </c>
      <c r="G32" s="1073">
        <f>'1.8.1сварка доп'!P33</f>
        <v>1.9999999999999998E-4</v>
      </c>
      <c r="H32" s="1082">
        <f>'1.8.1сварка доп'!O62</f>
        <v>2.181E-2</v>
      </c>
      <c r="I32" s="1081">
        <f>'1.8.1сварка доп'!P62</f>
        <v>6.8000000000000005E-4</v>
      </c>
      <c r="J32" s="1073">
        <f>'1.8.1сварка доп'!O91</f>
        <v>2.181E-2</v>
      </c>
      <c r="K32" s="1083">
        <f>'1.8.1сварка доп'!P91</f>
        <v>6.8000000000000005E-4</v>
      </c>
      <c r="L32" s="1082">
        <f>'1.8.1сварка доп'!O120</f>
        <v>1.9820000000000001E-2</v>
      </c>
      <c r="M32" s="1081">
        <f>'1.8.1сварка доп'!P120</f>
        <v>1.9999999999999998E-4</v>
      </c>
    </row>
    <row r="33" spans="2:13" s="706" customFormat="1" ht="15" customHeight="1" x14ac:dyDescent="0.25">
      <c r="B33" s="1707"/>
      <c r="C33" s="1084"/>
      <c r="D33" s="1085" t="str">
        <f>'1.8.1сварка доп'!L34</f>
        <v>Углерод оксид</v>
      </c>
      <c r="E33" s="1086" t="str">
        <f>'1.8.1сварка доп'!M34</f>
        <v>0337</v>
      </c>
      <c r="F33" s="1073">
        <f>'1.8.1сварка доп'!O34</f>
        <v>2.5050000000000003E-2</v>
      </c>
      <c r="G33" s="1073">
        <f>'1.8.1сварка доп'!P34</f>
        <v>2.5000000000000001E-4</v>
      </c>
      <c r="H33" s="1087">
        <f>'1.8.1сварка доп'!O63</f>
        <v>2.76E-2</v>
      </c>
      <c r="I33" s="1086">
        <f>'1.8.1сварка доп'!P63</f>
        <v>8.1999999999999998E-4</v>
      </c>
      <c r="J33" s="1088">
        <f>'1.8.1сварка доп'!O92</f>
        <v>2.76E-2</v>
      </c>
      <c r="K33" s="1089">
        <f>'1.8.1сварка доп'!P92</f>
        <v>8.1999999999999998E-4</v>
      </c>
      <c r="L33" s="1087">
        <f>'1.8.1сварка доп'!O121</f>
        <v>2.5050000000000003E-2</v>
      </c>
      <c r="M33" s="1086">
        <f>'1.8.1сварка доп'!P121</f>
        <v>2.5000000000000001E-4</v>
      </c>
    </row>
    <row r="34" spans="2:13" ht="15" customHeight="1" x14ac:dyDescent="0.25">
      <c r="B34" s="1707"/>
      <c r="C34" s="671">
        <v>7007</v>
      </c>
      <c r="D34" s="139" t="str">
        <f>'1.10 ДЭС и буровые установки'!K41</f>
        <v>Углерода оксид</v>
      </c>
      <c r="E34" s="140" t="str">
        <f>'1.10 ДЭС и буровые установки'!L41</f>
        <v>0337</v>
      </c>
      <c r="F34" s="121">
        <f>'1.10 ДЭС и буровые установки'!M41</f>
        <v>0.60970000000000002</v>
      </c>
      <c r="G34" s="129">
        <f>'1.10 ДЭС и буровые установки'!N41</f>
        <v>0.2379</v>
      </c>
      <c r="H34" s="130"/>
      <c r="I34" s="140"/>
      <c r="J34" s="121"/>
      <c r="K34" s="1056"/>
      <c r="L34" s="130"/>
      <c r="M34" s="129"/>
    </row>
    <row r="35" spans="2:13" ht="15" customHeight="1" x14ac:dyDescent="0.25">
      <c r="B35" s="1707"/>
      <c r="C35" s="716"/>
      <c r="D35" s="141" t="str">
        <f>'1.10 ДЭС и буровые установки'!K42</f>
        <v>Азота диоксид</v>
      </c>
      <c r="E35" s="143" t="str">
        <f>'1.10 ДЭС и буровые установки'!L42</f>
        <v>0301</v>
      </c>
      <c r="F35" s="122">
        <f>'1.10 ДЭС и буровые установки'!M42</f>
        <v>0.75519999999999998</v>
      </c>
      <c r="G35" s="127">
        <f>'1.10 ДЭС и буровые установки'!N42</f>
        <v>0.2928</v>
      </c>
      <c r="H35" s="164"/>
      <c r="I35" s="127"/>
      <c r="J35" s="122"/>
      <c r="K35" s="1053"/>
      <c r="L35" s="164"/>
      <c r="M35" s="127"/>
    </row>
    <row r="36" spans="2:13" ht="15" customHeight="1" x14ac:dyDescent="0.25">
      <c r="B36" s="1707"/>
      <c r="C36" s="716"/>
      <c r="D36" s="141" t="str">
        <f>'1.10 ДЭС и буровые установки'!K43</f>
        <v>Азота оксид</v>
      </c>
      <c r="E36" s="143" t="str">
        <f>'1.10 ДЭС и буровые установки'!L43</f>
        <v>0304</v>
      </c>
      <c r="F36" s="122">
        <f>'1.10 ДЭС и буровые установки'!M43</f>
        <v>0.1227</v>
      </c>
      <c r="G36" s="127">
        <f>'1.10 ДЭС и буровые установки'!N43</f>
        <v>4.7600000000000003E-2</v>
      </c>
      <c r="H36" s="164"/>
      <c r="I36" s="127"/>
      <c r="J36" s="122"/>
      <c r="K36" s="1053"/>
      <c r="L36" s="164"/>
      <c r="M36" s="127"/>
    </row>
    <row r="37" spans="2:13" ht="15" customHeight="1" x14ac:dyDescent="0.25">
      <c r="B37" s="1707"/>
      <c r="C37" s="716"/>
      <c r="D37" s="141" t="str">
        <f>'1.10 ДЭС и буровые установки'!K44</f>
        <v>Углеводороды</v>
      </c>
      <c r="E37" s="143">
        <f>'1.10 ДЭС и буровые установки'!L44</f>
        <v>2754</v>
      </c>
      <c r="F37" s="122">
        <f>'1.10 ДЭС и буровые установки'!M44</f>
        <v>0.28520000000000001</v>
      </c>
      <c r="G37" s="127">
        <f>'1.10 ДЭС и буровые установки'!N44</f>
        <v>0.10979999999999999</v>
      </c>
      <c r="H37" s="164"/>
      <c r="I37" s="127"/>
      <c r="J37" s="122"/>
      <c r="K37" s="1053"/>
      <c r="L37" s="164"/>
      <c r="M37" s="127"/>
    </row>
    <row r="38" spans="2:13" ht="15" customHeight="1" x14ac:dyDescent="0.25">
      <c r="B38" s="1707"/>
      <c r="C38" s="716"/>
      <c r="D38" s="141" t="str">
        <f>'1.10 ДЭС и буровые установки'!K45</f>
        <v>Углерод черный</v>
      </c>
      <c r="E38" s="143" t="str">
        <f>'1.10 ДЭС и буровые установки'!L45</f>
        <v>0328</v>
      </c>
      <c r="F38" s="122">
        <f>'1.10 ДЭС и буровые установки'!M45</f>
        <v>4.9200000000000001E-2</v>
      </c>
      <c r="G38" s="127">
        <f>'1.10 ДЭС и буровые установки'!N45</f>
        <v>1.83E-2</v>
      </c>
      <c r="H38" s="164"/>
      <c r="I38" s="127"/>
      <c r="J38" s="122"/>
      <c r="K38" s="1053"/>
      <c r="L38" s="164"/>
      <c r="M38" s="127"/>
    </row>
    <row r="39" spans="2:13" ht="15" customHeight="1" x14ac:dyDescent="0.25">
      <c r="B39" s="1707"/>
      <c r="C39" s="716"/>
      <c r="D39" s="141" t="str">
        <f>'1.10 ДЭС и буровые установки'!K46</f>
        <v>Сернистый ангидрид</v>
      </c>
      <c r="E39" s="143" t="str">
        <f>'1.10 ДЭС и буровые установки'!L46</f>
        <v>0330</v>
      </c>
      <c r="F39" s="122">
        <f>'1.10 ДЭС и буровые установки'!M46</f>
        <v>0.11799999999999999</v>
      </c>
      <c r="G39" s="127">
        <f>'1.10 ДЭС и буровые установки'!N46</f>
        <v>4.58E-2</v>
      </c>
      <c r="H39" s="164"/>
      <c r="I39" s="127"/>
      <c r="J39" s="122"/>
      <c r="K39" s="1053"/>
      <c r="L39" s="164"/>
      <c r="M39" s="127"/>
    </row>
    <row r="40" spans="2:13" ht="15" customHeight="1" x14ac:dyDescent="0.25">
      <c r="B40" s="1707"/>
      <c r="C40" s="716"/>
      <c r="D40" s="141" t="str">
        <f>'1.10 ДЭС и буровые установки'!K47</f>
        <v>Формальдегид</v>
      </c>
      <c r="E40" s="143" t="str">
        <f>'1.10 ДЭС и буровые установки'!L47</f>
        <v>1325</v>
      </c>
      <c r="F40" s="122">
        <f>'1.10 ДЭС и буровые установки'!M47</f>
        <v>1.18E-2</v>
      </c>
      <c r="G40" s="127">
        <f>'1.10 ДЭС и буровые установки'!N47</f>
        <v>4.5799999999999999E-3</v>
      </c>
      <c r="H40" s="164"/>
      <c r="I40" s="127"/>
      <c r="J40" s="122"/>
      <c r="K40" s="1053"/>
      <c r="L40" s="164"/>
      <c r="M40" s="127"/>
    </row>
    <row r="41" spans="2:13" ht="15" customHeight="1" x14ac:dyDescent="0.25">
      <c r="B41" s="1707"/>
      <c r="C41" s="716"/>
      <c r="D41" s="141" t="str">
        <f>'1.10 ДЭС и буровые установки'!K48</f>
        <v>Бенз(а)пирен</v>
      </c>
      <c r="E41" s="143" t="str">
        <f>'1.10 ДЭС и буровые установки'!L48</f>
        <v>0703</v>
      </c>
      <c r="F41" s="122">
        <f>'1.10 ДЭС и буровые установки'!M48</f>
        <v>1.1999999999999999E-6</v>
      </c>
      <c r="G41" s="127">
        <f>'1.10 ДЭС и буровые установки'!N48</f>
        <v>4.9999999999999998E-7</v>
      </c>
      <c r="H41" s="164"/>
      <c r="I41" s="127"/>
      <c r="J41" s="122"/>
      <c r="L41" s="164"/>
      <c r="M41" s="127"/>
    </row>
    <row r="42" spans="2:13" ht="15" customHeight="1" x14ac:dyDescent="0.25">
      <c r="B42" s="1707"/>
      <c r="C42" s="716"/>
      <c r="D42" s="142" t="str">
        <f>'1.11бурение'!H29</f>
        <v>Пыль неорг.с сод-м SiO2 70-20%</v>
      </c>
      <c r="E42" s="124">
        <f>'1.11бурение'!I29</f>
        <v>2908</v>
      </c>
      <c r="F42" s="165">
        <f>'1.11бурение'!J29</f>
        <v>0.22</v>
      </c>
      <c r="G42" s="128">
        <f>'1.11бурение'!K29</f>
        <v>0.6653</v>
      </c>
      <c r="H42" s="164"/>
      <c r="I42" s="127"/>
      <c r="J42" s="122"/>
      <c r="K42" s="1057"/>
      <c r="L42" s="164"/>
      <c r="M42" s="127"/>
    </row>
    <row r="43" spans="2:13" s="131" customFormat="1" ht="15" customHeight="1" x14ac:dyDescent="0.25">
      <c r="B43" s="1707"/>
      <c r="C43" s="626">
        <v>7008</v>
      </c>
      <c r="D43" s="627" t="str">
        <f>'1.13топливозаправщик'!K44</f>
        <v>Углеводороды предельные С12-С19</v>
      </c>
      <c r="E43" s="628">
        <f>'1.13топливозаправщик'!L44</f>
        <v>2754</v>
      </c>
      <c r="F43" s="629">
        <f>'1.13топливозаправщик'!N44</f>
        <v>6.3E-3</v>
      </c>
      <c r="G43" s="630">
        <f>'1.13топливозаправщик'!O44</f>
        <v>3.2499999999999999E-3</v>
      </c>
      <c r="H43" s="629">
        <f>'1.13топливозаправщик'!N84</f>
        <v>6.3E-3</v>
      </c>
      <c r="I43" s="630">
        <f>'1.13топливозаправщик'!O84</f>
        <v>4.5199999999999997E-3</v>
      </c>
      <c r="J43" s="631">
        <f>'1.13топливозаправщик'!N130</f>
        <v>6.3E-3</v>
      </c>
      <c r="K43" s="1058">
        <f>'1.13топливозаправщик'!O130</f>
        <v>4.1599999999999996E-3</v>
      </c>
      <c r="L43" s="629">
        <f>'1.13топливозаправщик'!N179</f>
        <v>6.3E-3</v>
      </c>
      <c r="M43" s="630">
        <f>'1.13топливозаправщик'!O179</f>
        <v>1E-3</v>
      </c>
    </row>
    <row r="44" spans="2:13" s="131" customFormat="1" ht="15" customHeight="1" x14ac:dyDescent="0.25">
      <c r="B44" s="1708"/>
      <c r="C44" s="632"/>
      <c r="D44" s="633" t="str">
        <f>'1.13топливозаправщик'!K45</f>
        <v>Сероводород</v>
      </c>
      <c r="E44" s="634" t="str">
        <f>'1.13топливозаправщик'!L45</f>
        <v>0333</v>
      </c>
      <c r="F44" s="635">
        <f>'1.13топливозаправщик'!N45</f>
        <v>2.0000000000000002E-5</v>
      </c>
      <c r="G44" s="636">
        <f>'1.13топливозаправщик'!O45</f>
        <v>9.0000000000000002E-6</v>
      </c>
      <c r="H44" s="635">
        <f>'1.13топливозаправщик'!N85</f>
        <v>2.0000000000000002E-5</v>
      </c>
      <c r="I44" s="636">
        <f>'1.13топливозаправщик'!O85</f>
        <v>1.2999999999999999E-5</v>
      </c>
      <c r="J44" s="637">
        <f>'1.13топливозаправщик'!N131</f>
        <v>2.0000000000000002E-5</v>
      </c>
      <c r="K44" s="1059">
        <f>'1.13топливозаправщик'!O131</f>
        <v>1.2E-5</v>
      </c>
      <c r="L44" s="635">
        <f>'1.13топливозаправщик'!N180</f>
        <v>2.0000000000000002E-5</v>
      </c>
      <c r="M44" s="636">
        <f>'1.13топливозаправщик'!O180</f>
        <v>3.0000000000000001E-6</v>
      </c>
    </row>
    <row r="45" spans="2:13" s="70" customFormat="1" ht="15" customHeight="1" x14ac:dyDescent="0.25">
      <c r="B45" s="1706" t="s">
        <v>204</v>
      </c>
      <c r="C45" s="670">
        <v>7009</v>
      </c>
      <c r="D45" s="621" t="str">
        <f>'1.3земляные работы'!N41</f>
        <v>Пыль неорг.с сод-м SiO2 70-20%</v>
      </c>
      <c r="E45" s="125" t="str">
        <f>'1.3земляные работы'!O41</f>
        <v>2908</v>
      </c>
      <c r="F45" s="623">
        <f>'1.3земляные работы'!Q41+'1.2погрузка экскаватором'!O33</f>
        <v>0.2165</v>
      </c>
      <c r="G45" s="624">
        <f>'1.3земляные работы'!R41+'1.2погрузка экскаватором'!P33</f>
        <v>1.3399999999999999E-2</v>
      </c>
      <c r="H45" s="623">
        <f>'1.2погрузка экскаватором'!O74+'1.3земляные работы'!Q147</f>
        <v>0.2165</v>
      </c>
      <c r="I45" s="624">
        <f>'1.2погрузка экскаватором'!P74+'1.3земляные работы'!R147</f>
        <v>0.11910000000000001</v>
      </c>
      <c r="J45" s="625">
        <f>'1.2погрузка экскаватором'!O99+'1.3земляные работы'!Q236</f>
        <v>0.2019</v>
      </c>
      <c r="K45" s="1055">
        <f>'1.2погрузка экскаватором'!P99+'1.3земляные работы'!R236</f>
        <v>6.9999999999999999E-4</v>
      </c>
      <c r="L45" s="623"/>
      <c r="M45" s="624"/>
    </row>
    <row r="46" spans="2:13" s="70" customFormat="1" ht="15" customHeight="1" x14ac:dyDescent="0.25">
      <c r="B46" s="1707"/>
      <c r="C46" s="670">
        <v>7010</v>
      </c>
      <c r="D46" s="621" t="str">
        <f>'1.4 транспортирование'!R45</f>
        <v>Пыль неорг. с сод-м SiO2 70-20%</v>
      </c>
      <c r="E46" s="622">
        <f>'1.4 транспортирование'!S45</f>
        <v>2908</v>
      </c>
      <c r="F46" s="625">
        <f>'1.4 транспортирование'!T45</f>
        <v>1.8E-3</v>
      </c>
      <c r="G46" s="624">
        <f>'1.4 транспортирование'!U45</f>
        <v>2.0000000000000001E-4</v>
      </c>
      <c r="H46" s="623">
        <f>'1.4 транспортирование'!T105</f>
        <v>2.2000000000000001E-3</v>
      </c>
      <c r="I46" s="624">
        <f>'1.4 транспортирование'!U105</f>
        <v>8.9999999999999998E-4</v>
      </c>
      <c r="J46" s="625">
        <f>'1.4 транспортирование'!T175</f>
        <v>1E-3</v>
      </c>
      <c r="K46" s="1055">
        <f>'1.4 транспортирование'!U175</f>
        <v>3.9999999999999998E-6</v>
      </c>
      <c r="L46" s="623"/>
      <c r="M46" s="624"/>
    </row>
    <row r="47" spans="2:13" s="70" customFormat="1" ht="15" customHeight="1" x14ac:dyDescent="0.25">
      <c r="B47" s="1707"/>
      <c r="C47" s="671">
        <v>7011</v>
      </c>
      <c r="D47" s="139" t="str">
        <f>'1.7покраска'!K123</f>
        <v>Углеводороды предельные С12-С19</v>
      </c>
      <c r="E47" s="140" t="str">
        <f>'1.7покраска'!L123</f>
        <v>2754</v>
      </c>
      <c r="F47" s="121"/>
      <c r="G47" s="231"/>
      <c r="H47" s="130">
        <f>'1.7покраска'!M123</f>
        <v>8.3299999999999999E-2</v>
      </c>
      <c r="I47" s="129">
        <f>'1.7покраска'!N123</f>
        <v>5.5300000000000002E-2</v>
      </c>
      <c r="J47" s="121"/>
      <c r="K47" s="1056"/>
      <c r="L47" s="724"/>
      <c r="M47" s="638"/>
    </row>
    <row r="48" spans="2:13" s="70" customFormat="1" ht="15" customHeight="1" x14ac:dyDescent="0.25">
      <c r="B48" s="1707"/>
      <c r="C48" s="668"/>
      <c r="D48" s="141" t="str">
        <f>'1.7покраска'!K124</f>
        <v>Ксилол</v>
      </c>
      <c r="E48" s="143" t="str">
        <f>'1.7покраска'!L124</f>
        <v>0616</v>
      </c>
      <c r="F48" s="122"/>
      <c r="G48" s="127"/>
      <c r="H48" s="164">
        <f>'1.7покраска'!M124</f>
        <v>0.1089</v>
      </c>
      <c r="I48" s="127">
        <f>'1.7покраска'!N124</f>
        <v>0.1817</v>
      </c>
      <c r="J48" s="122">
        <f>'1.7покраска'!M287</f>
        <v>6.25E-2</v>
      </c>
      <c r="K48" s="1053">
        <f>'1.7покраска'!N287</f>
        <v>1.1440000000000001E-2</v>
      </c>
      <c r="L48" s="175"/>
      <c r="M48" s="176"/>
    </row>
    <row r="49" spans="2:13" s="70" customFormat="1" ht="15" customHeight="1" x14ac:dyDescent="0.25">
      <c r="B49" s="1707"/>
      <c r="C49" s="668"/>
      <c r="D49" s="141" t="str">
        <f>'1.7покраска'!K125</f>
        <v>Бутиловый спирт</v>
      </c>
      <c r="E49" s="143" t="str">
        <f>'1.7покраска'!L125</f>
        <v>1042</v>
      </c>
      <c r="F49" s="122"/>
      <c r="G49" s="127"/>
      <c r="H49" s="164">
        <f>'1.7покраска'!M125</f>
        <v>4.3E-3</v>
      </c>
      <c r="I49" s="127">
        <f>'1.7покраска'!N125</f>
        <v>6.62E-3</v>
      </c>
      <c r="J49" s="122"/>
      <c r="K49" s="1053"/>
      <c r="L49" s="175"/>
      <c r="M49" s="176"/>
    </row>
    <row r="50" spans="2:13" s="70" customFormat="1" ht="15" customHeight="1" x14ac:dyDescent="0.25">
      <c r="B50" s="1707"/>
      <c r="C50" s="668"/>
      <c r="D50" s="141" t="str">
        <f>'1.7покраска'!K126</f>
        <v>Ацетон</v>
      </c>
      <c r="E50" s="143" t="str">
        <f>'1.7покраска'!L126</f>
        <v>1401</v>
      </c>
      <c r="F50" s="122"/>
      <c r="G50" s="127"/>
      <c r="H50" s="164">
        <f>'1.7покраска'!M126</f>
        <v>4.3E-3</v>
      </c>
      <c r="I50" s="127">
        <f>'1.7покраска'!N126</f>
        <v>6.6E-3</v>
      </c>
      <c r="J50" s="122"/>
      <c r="K50" s="1053"/>
      <c r="L50" s="175"/>
      <c r="M50" s="176"/>
    </row>
    <row r="51" spans="2:13" s="70" customFormat="1" ht="15" customHeight="1" x14ac:dyDescent="0.25">
      <c r="B51" s="1707"/>
      <c r="C51" s="668"/>
      <c r="D51" s="141" t="str">
        <f>'1.7покраска'!K127</f>
        <v>Бутилацетат</v>
      </c>
      <c r="E51" s="143" t="str">
        <f>'1.7покраска'!L127</f>
        <v>1210</v>
      </c>
      <c r="F51" s="122"/>
      <c r="G51" s="127"/>
      <c r="H51" s="164">
        <f>'1.7покраска'!M127</f>
        <v>3.5099999999999999E-2</v>
      </c>
      <c r="I51" s="127">
        <f>'1.7покраска'!N127</f>
        <v>0.1</v>
      </c>
      <c r="J51" s="122"/>
      <c r="K51" s="1053"/>
      <c r="L51" s="175"/>
      <c r="M51" s="176"/>
    </row>
    <row r="52" spans="2:13" s="70" customFormat="1" ht="15" customHeight="1" x14ac:dyDescent="0.25">
      <c r="B52" s="1707"/>
      <c r="C52" s="668"/>
      <c r="D52" s="141" t="str">
        <f>'1.7покраска'!K128</f>
        <v>Этилацетат</v>
      </c>
      <c r="E52" s="143" t="str">
        <f>'1.7покраска'!L128</f>
        <v>1240</v>
      </c>
      <c r="F52" s="122"/>
      <c r="G52" s="127"/>
      <c r="H52" s="164">
        <f>'1.7покраска'!M128</f>
        <v>1.7000000000000001E-2</v>
      </c>
      <c r="I52" s="127">
        <f>'1.7покраска'!N128</f>
        <v>2.6499999999999999E-2</v>
      </c>
      <c r="J52" s="122"/>
      <c r="K52" s="1053"/>
      <c r="L52" s="175"/>
      <c r="M52" s="176"/>
    </row>
    <row r="53" spans="2:13" s="70" customFormat="1" ht="15" customHeight="1" x14ac:dyDescent="0.25">
      <c r="B53" s="1707"/>
      <c r="C53" s="668"/>
      <c r="D53" s="141" t="str">
        <f>'1.7покраска'!K129</f>
        <v>Толуол</v>
      </c>
      <c r="E53" s="143" t="str">
        <f>'1.7покраска'!L129</f>
        <v>0621</v>
      </c>
      <c r="F53" s="122"/>
      <c r="G53" s="127"/>
      <c r="H53" s="164">
        <f>'1.7покраска'!M129</f>
        <v>4.5699999999999998E-2</v>
      </c>
      <c r="I53" s="127">
        <f>'1.7покраска'!N129</f>
        <v>7.1199999999999999E-2</v>
      </c>
      <c r="J53" s="122"/>
      <c r="K53" s="1053"/>
      <c r="L53" s="175"/>
      <c r="M53" s="176"/>
    </row>
    <row r="54" spans="2:13" s="70" customFormat="1" ht="15" customHeight="1" x14ac:dyDescent="0.25">
      <c r="B54" s="1707"/>
      <c r="C54" s="668"/>
      <c r="D54" s="141" t="str">
        <f>'1.7покраска'!K286</f>
        <v>Уайт-спирит</v>
      </c>
      <c r="E54" s="143" t="str">
        <f>'1.7покраска'!L286</f>
        <v>2752</v>
      </c>
      <c r="F54" s="122"/>
      <c r="G54" s="127"/>
      <c r="H54" s="164"/>
      <c r="I54" s="127"/>
      <c r="J54" s="122">
        <f>'1.7покраска'!M286</f>
        <v>3.1300000000000001E-2</v>
      </c>
      <c r="K54" s="1053">
        <f>'1.7покраска'!N286</f>
        <v>7.5999999999999991E-3</v>
      </c>
      <c r="L54" s="175"/>
      <c r="M54" s="176"/>
    </row>
    <row r="55" spans="2:13" s="70" customFormat="1" ht="15" customHeight="1" x14ac:dyDescent="0.25">
      <c r="B55" s="1707"/>
      <c r="C55" s="668"/>
      <c r="D55" s="142" t="str">
        <f>'1.7покраска'!K288</f>
        <v>Сольвент</v>
      </c>
      <c r="E55" s="124" t="str">
        <f>'1.7покраска'!L288</f>
        <v>2750</v>
      </c>
      <c r="F55" s="123"/>
      <c r="G55" s="128"/>
      <c r="H55" s="165"/>
      <c r="I55" s="128"/>
      <c r="J55" s="122">
        <f>'1.7покраска'!M288</f>
        <v>2.2800000000000001E-2</v>
      </c>
      <c r="K55" s="1057">
        <f>'1.7покраска'!N288</f>
        <v>3.3E-3</v>
      </c>
      <c r="L55" s="175"/>
      <c r="M55" s="176"/>
    </row>
    <row r="56" spans="2:13" ht="15" customHeight="1" x14ac:dyDescent="0.25">
      <c r="B56" s="1707"/>
      <c r="C56" s="671">
        <v>7012</v>
      </c>
      <c r="D56" s="139" t="str">
        <f>'1.8 сварка'!G115</f>
        <v>Фтористые газ.соед</v>
      </c>
      <c r="E56" s="129" t="str">
        <f>'1.8 сварка'!H115</f>
        <v>0342</v>
      </c>
      <c r="F56" s="122"/>
      <c r="G56" s="127"/>
      <c r="H56" s="130">
        <f>'1.8 сварка'!J115</f>
        <v>1E-4</v>
      </c>
      <c r="I56" s="129">
        <f>'1.8 сварка'!K115</f>
        <v>1E-4</v>
      </c>
      <c r="J56" s="121">
        <f>'1.8 сварка'!J236</f>
        <v>2E-3</v>
      </c>
      <c r="K56" s="1056">
        <f>'1.8 сварка'!K236</f>
        <v>1.43E-2</v>
      </c>
      <c r="L56" s="130"/>
      <c r="M56" s="129"/>
    </row>
    <row r="57" spans="2:13" ht="15" customHeight="1" x14ac:dyDescent="0.25">
      <c r="B57" s="1707"/>
      <c r="C57" s="716"/>
      <c r="D57" s="141" t="str">
        <f>'1.8 сварка'!G116</f>
        <v>Диоксид азота</v>
      </c>
      <c r="E57" s="127" t="str">
        <f>'1.8 сварка'!H116</f>
        <v>0301</v>
      </c>
      <c r="F57" s="122"/>
      <c r="G57" s="127"/>
      <c r="H57" s="164">
        <f>'1.8 сварка'!J116</f>
        <v>2.0000000000000001E-4</v>
      </c>
      <c r="I57" s="127">
        <f>'1.8 сварка'!K116</f>
        <v>2.0000000000000001E-4</v>
      </c>
      <c r="J57" s="122">
        <f>'1.8 сварка'!J237</f>
        <v>4.0000000000000001E-3</v>
      </c>
      <c r="K57" s="1053">
        <f>'1.8 сварка'!K237</f>
        <v>2.86E-2</v>
      </c>
      <c r="L57" s="164"/>
      <c r="M57" s="127"/>
    </row>
    <row r="58" spans="2:13" ht="15" customHeight="1" x14ac:dyDescent="0.25">
      <c r="B58" s="1707"/>
      <c r="C58" s="716"/>
      <c r="D58" s="141" t="str">
        <f>'1.8 сварка'!G117</f>
        <v>Марганец и его соед.</v>
      </c>
      <c r="E58" s="127" t="str">
        <f>'1.8 сварка'!H117</f>
        <v>0143</v>
      </c>
      <c r="F58" s="122"/>
      <c r="G58" s="127"/>
      <c r="H58" s="164">
        <f>'1.8 сварка'!J117</f>
        <v>1E-4</v>
      </c>
      <c r="I58" s="127">
        <f>'1.8 сварка'!K117</f>
        <v>1E-4</v>
      </c>
      <c r="J58" s="122">
        <f>'1.8 сварка'!J238</f>
        <v>2.3999999999999998E-3</v>
      </c>
      <c r="K58" s="1053">
        <f>'1.8 сварка'!K238</f>
        <v>1.7600000000000001E-2</v>
      </c>
      <c r="L58" s="164"/>
      <c r="M58" s="127"/>
    </row>
    <row r="59" spans="2:13" ht="15" customHeight="1" x14ac:dyDescent="0.25">
      <c r="B59" s="1707"/>
      <c r="C59" s="716"/>
      <c r="D59" s="141" t="str">
        <f>'1.8 сварка'!G118</f>
        <v>Фториды</v>
      </c>
      <c r="E59" s="127" t="str">
        <f>'1.8 сварка'!H118</f>
        <v>0344</v>
      </c>
      <c r="F59" s="122"/>
      <c r="G59" s="127"/>
      <c r="H59" s="164">
        <f>'1.8 сварка'!J118</f>
        <v>4.0000000000000002E-4</v>
      </c>
      <c r="I59" s="127">
        <f>'1.8 сварка'!K118</f>
        <v>4.0000000000000002E-4</v>
      </c>
      <c r="J59" s="122">
        <f>'1.8 сварка'!J239</f>
        <v>8.6999999999999994E-3</v>
      </c>
      <c r="K59" s="1053">
        <f>'1.8 сварка'!K239</f>
        <v>6.3E-2</v>
      </c>
      <c r="L59" s="164"/>
      <c r="M59" s="127"/>
    </row>
    <row r="60" spans="2:13" ht="15" customHeight="1" x14ac:dyDescent="0.25">
      <c r="B60" s="1707"/>
      <c r="C60" s="716"/>
      <c r="D60" s="141" t="str">
        <f>'1.8 сварка'!G119</f>
        <v>Железа оксид</v>
      </c>
      <c r="E60" s="127" t="str">
        <f>'1.8 сварка'!H119</f>
        <v>0123</v>
      </c>
      <c r="F60" s="122"/>
      <c r="G60" s="127"/>
      <c r="H60" s="164">
        <f>'1.8 сварка'!J119</f>
        <v>1.2999999999999999E-3</v>
      </c>
      <c r="I60" s="127">
        <f>'1.8 сварка'!K119</f>
        <v>1.2999999999999999E-3</v>
      </c>
      <c r="J60" s="122">
        <f>'1.8 сварка'!J240</f>
        <v>2.8299999999999999E-2</v>
      </c>
      <c r="K60" s="1053">
        <f>'1.8 сварка'!K240</f>
        <v>0.2039</v>
      </c>
      <c r="L60" s="164"/>
      <c r="M60" s="127"/>
    </row>
    <row r="61" spans="2:13" ht="15" customHeight="1" x14ac:dyDescent="0.25">
      <c r="B61" s="1707"/>
      <c r="C61" s="716"/>
      <c r="D61" s="141" t="str">
        <f>'1.8 сварка'!G120</f>
        <v>Пыль неорг.с сод-м SiO2 70-20 %</v>
      </c>
      <c r="E61" s="127">
        <f>'1.8 сварка'!H120</f>
        <v>2908</v>
      </c>
      <c r="F61" s="122"/>
      <c r="G61" s="127"/>
      <c r="H61" s="164">
        <f>'1.8 сварка'!J120</f>
        <v>2.0000000000000001E-4</v>
      </c>
      <c r="I61" s="127">
        <f>'1.8 сварка'!K120</f>
        <v>2.0000000000000001E-4</v>
      </c>
      <c r="J61" s="122">
        <f>'1.8 сварка'!J241</f>
        <v>3.7000000000000002E-3</v>
      </c>
      <c r="K61" s="1053">
        <f>'1.8 сварка'!K241</f>
        <v>2.6700000000000002E-2</v>
      </c>
      <c r="L61" s="164"/>
      <c r="M61" s="127"/>
    </row>
    <row r="62" spans="2:13" ht="15" customHeight="1" x14ac:dyDescent="0.25">
      <c r="B62" s="1707"/>
      <c r="C62" s="716"/>
      <c r="D62" s="141" t="str">
        <f>'1.8 сварка'!G121</f>
        <v>Оксид углерода</v>
      </c>
      <c r="E62" s="127" t="str">
        <f>'1.8 сварка'!H121</f>
        <v>0337</v>
      </c>
      <c r="F62" s="164"/>
      <c r="G62" s="127"/>
      <c r="H62" s="164">
        <f>'1.8 сварка'!J121</f>
        <v>1.6000000000000001E-3</v>
      </c>
      <c r="I62" s="127">
        <f>'1.8 сварка'!K121</f>
        <v>1.6999999999999999E-3</v>
      </c>
      <c r="J62" s="122">
        <f>'1.8 сварка'!J242+'1.9сварка полиэтилена'!H76</f>
        <v>3.520003E-2</v>
      </c>
      <c r="K62" s="1053">
        <f>'1.8 сварка'!K242+'1.9сварка полиэтилена'!I76</f>
        <v>0.25370003999999996</v>
      </c>
      <c r="L62" s="164"/>
      <c r="M62" s="127"/>
    </row>
    <row r="63" spans="2:13" ht="15" customHeight="1" x14ac:dyDescent="0.25">
      <c r="B63" s="1707"/>
      <c r="C63" s="717"/>
      <c r="D63" s="142" t="str">
        <f>'1.9сварка полиэтилена'!F77</f>
        <v>Хлорэтилен /Винилхлорид/</v>
      </c>
      <c r="E63" s="253" t="str">
        <f>'1.9сварка полиэтилена'!G77</f>
        <v>0827</v>
      </c>
      <c r="F63" s="123"/>
      <c r="G63" s="253"/>
      <c r="H63" s="165"/>
      <c r="I63" s="128"/>
      <c r="J63" s="123">
        <f>'1.9сварка полиэтилена'!H77</f>
        <v>2E-8</v>
      </c>
      <c r="K63" s="1057">
        <f>'1.9сварка полиэтилена'!I77</f>
        <v>2E-8</v>
      </c>
      <c r="L63" s="165"/>
      <c r="M63" s="128"/>
    </row>
    <row r="64" spans="2:13" s="131" customFormat="1" ht="15" customHeight="1" x14ac:dyDescent="0.25">
      <c r="B64" s="1707"/>
      <c r="C64" s="626">
        <v>7013</v>
      </c>
      <c r="D64" s="627" t="str">
        <f>'1.13топливозаправщик'!K47</f>
        <v>Углеводороды предельные С12-С19</v>
      </c>
      <c r="E64" s="626">
        <f>'1.13топливозаправщик'!L47</f>
        <v>2754</v>
      </c>
      <c r="F64" s="629">
        <f>'1.13топливозаправщик'!N47</f>
        <v>6.3E-3</v>
      </c>
      <c r="G64" s="630">
        <f>'1.13топливозаправщик'!O47</f>
        <v>5.1000000000000004E-4</v>
      </c>
      <c r="H64" s="629">
        <f>'1.13топливозаправщик'!N87</f>
        <v>6.3E-3</v>
      </c>
      <c r="I64" s="630">
        <f>'1.13топливозаправщик'!O87</f>
        <v>1.33E-3</v>
      </c>
      <c r="J64" s="631">
        <f>'1.13топливозаправщик'!N133</f>
        <v>6.3E-3</v>
      </c>
      <c r="K64" s="1058">
        <f>'1.13топливозаправщик'!O133</f>
        <v>5.1999999999999995E-4</v>
      </c>
      <c r="L64" s="629"/>
      <c r="M64" s="630"/>
    </row>
    <row r="65" spans="2:13" s="131" customFormat="1" ht="15" customHeight="1" x14ac:dyDescent="0.25">
      <c r="B65" s="1708"/>
      <c r="C65" s="632"/>
      <c r="D65" s="639" t="str">
        <f>'1.13топливозаправщик'!K48</f>
        <v>Сероводород</v>
      </c>
      <c r="E65" s="632" t="str">
        <f>'1.13топливозаправщик'!L48</f>
        <v>0333</v>
      </c>
      <c r="F65" s="635">
        <f>'1.13топливозаправщик'!N48</f>
        <v>2.0000000000000002E-5</v>
      </c>
      <c r="G65" s="636">
        <f>'1.13топливозаправщик'!O48</f>
        <v>9.9999999999999995E-7</v>
      </c>
      <c r="H65" s="635">
        <f>'1.13топливозаправщик'!N88</f>
        <v>2.0000000000000002E-5</v>
      </c>
      <c r="I65" s="636">
        <f>'1.13топливозаправщик'!O88</f>
        <v>3.9999999999999998E-6</v>
      </c>
      <c r="J65" s="637">
        <f>'1.13топливозаправщик'!N134</f>
        <v>2.0000000000000002E-5</v>
      </c>
      <c r="K65" s="1059">
        <f>'1.13топливозаправщик'!O134</f>
        <v>9.9999999999999995E-7</v>
      </c>
      <c r="L65" s="635"/>
      <c r="M65" s="636"/>
    </row>
    <row r="66" spans="2:13" s="70" customFormat="1" ht="15" customHeight="1" x14ac:dyDescent="0.25">
      <c r="B66" s="1706" t="s">
        <v>210</v>
      </c>
      <c r="C66" s="670">
        <v>7014</v>
      </c>
      <c r="D66" s="640" t="str">
        <f>'1.2погрузка экскаватором'!M37</f>
        <v>Пыль неорг.с сод-м SiO2 70-20%</v>
      </c>
      <c r="E66" s="641">
        <f>'1.2погрузка экскаватором'!N37</f>
        <v>2908</v>
      </c>
      <c r="F66" s="642">
        <f>'1.2погрузка экскаватором'!O37+'1.3земляные работы'!Q46</f>
        <v>0.2165</v>
      </c>
      <c r="G66" s="624">
        <f>'1.2погрузка экскаватором'!P37+'1.3земляные работы'!R46</f>
        <v>3.61E-2</v>
      </c>
      <c r="H66" s="623">
        <f>'1.2погрузка экскаватором'!O78+'1.3земляные работы'!Q152</f>
        <v>0.2165</v>
      </c>
      <c r="I66" s="624">
        <f>'1.2погрузка экскаватором'!P78+'1.3земляные работы'!R152</f>
        <v>3.61E-2</v>
      </c>
      <c r="J66" s="625">
        <f>'1.2погрузка экскаватором'!O103+'1.3земляные работы'!Q241</f>
        <v>0.2165</v>
      </c>
      <c r="K66" s="1055">
        <f>'1.2погрузка экскаватором'!P103+'1.3земляные работы'!R241</f>
        <v>1.8099999999999998E-2</v>
      </c>
      <c r="L66" s="725"/>
      <c r="M66" s="643"/>
    </row>
    <row r="67" spans="2:13" s="105" customFormat="1" ht="15" customHeight="1" x14ac:dyDescent="0.25">
      <c r="B67" s="1707"/>
      <c r="C67" s="668">
        <v>7015</v>
      </c>
      <c r="D67" s="644" t="str">
        <f>'1.4 транспортирование'!R49</f>
        <v>Пыль неорг. с сод-м SiO2 70-20%</v>
      </c>
      <c r="E67" s="645">
        <f>'1.4 транспортирование'!S49</f>
        <v>2908</v>
      </c>
      <c r="F67" s="646">
        <f>'1.4 транспортирование'!T49</f>
        <v>2.2000000000000001E-3</v>
      </c>
      <c r="G67" s="641">
        <f>'1.4 транспортирование'!U49</f>
        <v>3.0000000000000003E-4</v>
      </c>
      <c r="H67" s="166">
        <f>'1.4 транспортирование'!T109</f>
        <v>2.2000000000000001E-3</v>
      </c>
      <c r="I67" s="167">
        <f>'1.4 транспортирование'!U109</f>
        <v>3.0000000000000003E-4</v>
      </c>
      <c r="J67" s="178">
        <f>'1.4 транспортирование'!T178</f>
        <v>6.9999999999999999E-4</v>
      </c>
      <c r="K67" s="1060">
        <f>'1.4 транспортирование'!U178</f>
        <v>1.08E-4</v>
      </c>
      <c r="L67" s="726"/>
      <c r="M67" s="647"/>
    </row>
    <row r="68" spans="2:13" s="70" customFormat="1" ht="15" customHeight="1" x14ac:dyDescent="0.25">
      <c r="B68" s="1707"/>
      <c r="C68" s="671">
        <v>7016</v>
      </c>
      <c r="D68" s="139" t="str">
        <f>'1.7покраска'!K296</f>
        <v>Уайт-спирит</v>
      </c>
      <c r="E68" s="140" t="str">
        <f>'1.7покраска'!L296</f>
        <v>2752</v>
      </c>
      <c r="F68" s="121"/>
      <c r="G68" s="129"/>
      <c r="H68" s="130"/>
      <c r="I68" s="129"/>
      <c r="J68" s="121">
        <f>'1.7покраска'!M296</f>
        <v>7.4999999999999997E-2</v>
      </c>
      <c r="K68" s="1056">
        <f>'1.7покраска'!N296</f>
        <v>5.3999999999999999E-2</v>
      </c>
      <c r="L68" s="724"/>
      <c r="M68" s="638"/>
    </row>
    <row r="69" spans="2:13" s="70" customFormat="1" ht="15" customHeight="1" x14ac:dyDescent="0.25">
      <c r="B69" s="1707"/>
      <c r="C69" s="668"/>
      <c r="D69" s="141" t="str">
        <f>'1.7покраска'!K297</f>
        <v>Ксилол</v>
      </c>
      <c r="E69" s="143" t="str">
        <f>'1.7покраска'!L297</f>
        <v>0616</v>
      </c>
      <c r="F69" s="122"/>
      <c r="G69" s="127"/>
      <c r="H69" s="164"/>
      <c r="I69" s="127"/>
      <c r="J69" s="122">
        <f>'1.7покраска'!M297</f>
        <v>0.125</v>
      </c>
      <c r="K69" s="1053">
        <f>'1.7покраска'!N297</f>
        <v>8.3250000000000005E-2</v>
      </c>
      <c r="L69" s="175"/>
      <c r="M69" s="176"/>
    </row>
    <row r="70" spans="2:13" s="70" customFormat="1" ht="15" customHeight="1" x14ac:dyDescent="0.25">
      <c r="B70" s="1707"/>
      <c r="C70" s="668"/>
      <c r="D70" s="141" t="str">
        <f>'1.7покраска'!K298</f>
        <v>Сольвент</v>
      </c>
      <c r="E70" s="143" t="str">
        <f>'1.7покраска'!L298</f>
        <v>2750</v>
      </c>
      <c r="F70" s="122"/>
      <c r="G70" s="127"/>
      <c r="H70" s="164"/>
      <c r="I70" s="127"/>
      <c r="J70" s="122">
        <f>'1.7покраска'!M298</f>
        <v>0.27779999999999999</v>
      </c>
      <c r="K70" s="1053">
        <f>'1.7покраска'!N298</f>
        <v>7.9200000000000007E-2</v>
      </c>
      <c r="L70" s="175"/>
      <c r="M70" s="176"/>
    </row>
    <row r="71" spans="2:13" s="70" customFormat="1" ht="15" customHeight="1" x14ac:dyDescent="0.25">
      <c r="B71" s="1707"/>
      <c r="C71" s="668"/>
      <c r="D71" s="142" t="str">
        <f>'1.7покраска'!K299</f>
        <v>Углеводороды предельные С12-С19</v>
      </c>
      <c r="E71" s="124" t="str">
        <f>'1.7покраска'!L299</f>
        <v>2754</v>
      </c>
      <c r="F71" s="123"/>
      <c r="G71" s="128"/>
      <c r="H71" s="164"/>
      <c r="I71" s="127"/>
      <c r="J71" s="123">
        <f>'1.7покраска'!M299</f>
        <v>0.1875</v>
      </c>
      <c r="K71" s="1057">
        <f>'1.7покраска'!N299</f>
        <v>0.35639999999999999</v>
      </c>
      <c r="L71" s="175"/>
      <c r="M71" s="176"/>
    </row>
    <row r="72" spans="2:13" ht="15" customHeight="1" x14ac:dyDescent="0.25">
      <c r="B72" s="1707"/>
      <c r="C72" s="671">
        <v>7017</v>
      </c>
      <c r="D72" s="139" t="str">
        <f>'1.8 сварка'!G42</f>
        <v>Фтористые газ.соед</v>
      </c>
      <c r="E72" s="129" t="str">
        <f>'1.8 сварка'!H42</f>
        <v>0342</v>
      </c>
      <c r="F72" s="164">
        <f>'1.8 сварка'!J42</f>
        <v>5.9999999999999995E-4</v>
      </c>
      <c r="G72" s="129">
        <f>'1.8 сварка'!K42</f>
        <v>2E-3</v>
      </c>
      <c r="H72" s="130">
        <f>'1.8 сварка'!J123</f>
        <v>1.1000000000000001E-3</v>
      </c>
      <c r="I72" s="129">
        <f>'1.8 сварка'!K123</f>
        <v>2.2000000000000001E-3</v>
      </c>
      <c r="J72" s="121">
        <f>'1.8 сварка'!J244</f>
        <v>5.9999999999999995E-4</v>
      </c>
      <c r="K72" s="1056">
        <f>'1.8 сварка'!K244</f>
        <v>1.9800000000000002E-2</v>
      </c>
      <c r="L72" s="130"/>
      <c r="M72" s="129"/>
    </row>
    <row r="73" spans="2:13" ht="15" customHeight="1" x14ac:dyDescent="0.25">
      <c r="B73" s="1707"/>
      <c r="C73" s="716"/>
      <c r="D73" s="141" t="str">
        <f>'1.8 сварка'!G43</f>
        <v>Диоксид азота</v>
      </c>
      <c r="E73" s="127" t="str">
        <f>'1.8 сварка'!H43</f>
        <v>0301</v>
      </c>
      <c r="F73" s="122">
        <f>'1.8 сварка'!J43</f>
        <v>1.2999999999999999E-3</v>
      </c>
      <c r="G73" s="127">
        <f>'1.8 сварка'!K43</f>
        <v>4.0000000000000001E-3</v>
      </c>
      <c r="H73" s="164">
        <f>'1.8 сварка'!J124</f>
        <v>2.0999999999999999E-3</v>
      </c>
      <c r="I73" s="127">
        <f>'1.8 сварка'!K124</f>
        <v>4.4000000000000003E-3</v>
      </c>
      <c r="J73" s="122">
        <f>'1.8 сварка'!J245</f>
        <v>1.2999999999999999E-3</v>
      </c>
      <c r="K73" s="1053">
        <f>'1.8 сварка'!K245</f>
        <v>3.9600000000000003E-2</v>
      </c>
      <c r="L73" s="164"/>
      <c r="M73" s="127"/>
    </row>
    <row r="74" spans="2:13" ht="15" customHeight="1" x14ac:dyDescent="0.25">
      <c r="B74" s="1707"/>
      <c r="C74" s="716"/>
      <c r="D74" s="141" t="str">
        <f>'1.8 сварка'!G44</f>
        <v>Марганец и его соед.</v>
      </c>
      <c r="E74" s="127" t="str">
        <f>'1.8 сварка'!H44</f>
        <v>0143</v>
      </c>
      <c r="F74" s="122">
        <f>'1.8 сварка'!J44</f>
        <v>8.0000000000000004E-4</v>
      </c>
      <c r="G74" s="127">
        <f>'1.8 сварка'!K44</f>
        <v>2.3999999999999998E-3</v>
      </c>
      <c r="H74" s="164">
        <f>'1.8 сварка'!J125</f>
        <v>1.2999999999999999E-3</v>
      </c>
      <c r="I74" s="127">
        <f>'1.8 сварка'!K125</f>
        <v>2.7000000000000001E-3</v>
      </c>
      <c r="J74" s="122">
        <f>'1.8 сварка'!J246</f>
        <v>8.0000000000000004E-4</v>
      </c>
      <c r="K74" s="1053">
        <f>'1.8 сварка'!K246</f>
        <v>2.4299999999999999E-2</v>
      </c>
      <c r="L74" s="164"/>
      <c r="M74" s="127"/>
    </row>
    <row r="75" spans="2:13" ht="15" customHeight="1" x14ac:dyDescent="0.25">
      <c r="B75" s="1707"/>
      <c r="C75" s="716"/>
      <c r="D75" s="141" t="str">
        <f>'1.8 сварка'!G45</f>
        <v>Фториды</v>
      </c>
      <c r="E75" s="127" t="str">
        <f>'1.8 сварка'!H45</f>
        <v>0344</v>
      </c>
      <c r="F75" s="122">
        <f>'1.8 сварка'!J45</f>
        <v>2.8E-3</v>
      </c>
      <c r="G75" s="127">
        <f>'1.8 сварка'!K45</f>
        <v>8.6999999999999994E-3</v>
      </c>
      <c r="H75" s="164">
        <f>'1.8 сварка'!J126</f>
        <v>4.7000000000000002E-3</v>
      </c>
      <c r="I75" s="127">
        <f>'1.8 сварка'!K126</f>
        <v>9.7000000000000003E-3</v>
      </c>
      <c r="J75" s="122">
        <f>'1.8 сварка'!J247</f>
        <v>2.8E-3</v>
      </c>
      <c r="K75" s="1053">
        <f>'1.8 сварка'!K247</f>
        <v>8.7099999999999997E-2</v>
      </c>
      <c r="L75" s="164"/>
      <c r="M75" s="127"/>
    </row>
    <row r="76" spans="2:13" ht="15" customHeight="1" x14ac:dyDescent="0.25">
      <c r="B76" s="1707"/>
      <c r="C76" s="716"/>
      <c r="D76" s="141" t="str">
        <f>'1.8 сварка'!G46</f>
        <v>Железа оксид</v>
      </c>
      <c r="E76" s="127" t="str">
        <f>'1.8 сварка'!H46</f>
        <v>0123</v>
      </c>
      <c r="F76" s="122">
        <f>'1.8 сварка'!J46</f>
        <v>9.1999999999999998E-3</v>
      </c>
      <c r="G76" s="127">
        <f>'1.8 сварка'!K46</f>
        <v>2.8199999999999999E-2</v>
      </c>
      <c r="H76" s="164">
        <f>'1.8 сварка'!J127</f>
        <v>1.5100000000000001E-2</v>
      </c>
      <c r="I76" s="127">
        <f>'1.8 сварка'!K127</f>
        <v>3.1300000000000001E-2</v>
      </c>
      <c r="J76" s="122">
        <f>'1.8 сварка'!J248</f>
        <v>9.1999999999999998E-3</v>
      </c>
      <c r="K76" s="1053">
        <f>'1.8 сварка'!K248</f>
        <v>0.28210000000000002</v>
      </c>
      <c r="L76" s="164"/>
      <c r="M76" s="127"/>
    </row>
    <row r="77" spans="2:13" ht="15" customHeight="1" x14ac:dyDescent="0.25">
      <c r="B77" s="1707"/>
      <c r="C77" s="716"/>
      <c r="D77" s="141" t="str">
        <f>'1.8 сварка'!G47</f>
        <v>Пыль неорг.с сод-м SiO2 70-20 %</v>
      </c>
      <c r="E77" s="127">
        <f>'1.8 сварка'!H47</f>
        <v>2908</v>
      </c>
      <c r="F77" s="122">
        <f>'1.8 сварка'!J47</f>
        <v>1.1999999999999999E-3</v>
      </c>
      <c r="G77" s="127">
        <f>'1.8 сварка'!K47</f>
        <v>3.7000000000000002E-3</v>
      </c>
      <c r="H77" s="164">
        <f>'1.8 сварка'!J128</f>
        <v>2E-3</v>
      </c>
      <c r="I77" s="127">
        <f>'1.8 сварка'!K128</f>
        <v>4.1000000000000003E-3</v>
      </c>
      <c r="J77" s="122">
        <f>'1.8 сварка'!J249</f>
        <v>1.1999999999999999E-3</v>
      </c>
      <c r="K77" s="1053">
        <f>'1.8 сварка'!K249</f>
        <v>3.6900000000000002E-2</v>
      </c>
      <c r="L77" s="164"/>
      <c r="M77" s="127"/>
    </row>
    <row r="78" spans="2:13" ht="15" customHeight="1" x14ac:dyDescent="0.25">
      <c r="B78" s="1707"/>
      <c r="C78" s="716"/>
      <c r="D78" s="141" t="str">
        <f>'1.8 сварка'!G48</f>
        <v>Оксид углерода</v>
      </c>
      <c r="E78" s="127" t="str">
        <f>'1.8 сварка'!H48</f>
        <v>0337</v>
      </c>
      <c r="F78" s="122">
        <f>'1.8 сварка'!J48</f>
        <v>1.15E-2</v>
      </c>
      <c r="G78" s="127">
        <f>'1.8 сварка'!K48</f>
        <v>3.5000000000000003E-2</v>
      </c>
      <c r="H78" s="164">
        <f>'1.8 сварка'!J129</f>
        <v>1.8800000000000001E-2</v>
      </c>
      <c r="I78" s="127">
        <f>'1.8 сварка'!K129</f>
        <v>3.8899999999999997E-2</v>
      </c>
      <c r="J78" s="122">
        <f>'1.8 сварка'!J250</f>
        <v>1.15E-2</v>
      </c>
      <c r="K78" s="1053">
        <f>'1.8 сварка'!K250</f>
        <v>0.35089999999999999</v>
      </c>
      <c r="L78" s="164"/>
      <c r="M78" s="127"/>
    </row>
    <row r="79" spans="2:13" s="131" customFormat="1" ht="15" customHeight="1" x14ac:dyDescent="0.25">
      <c r="B79" s="1707"/>
      <c r="C79" s="626">
        <v>7018</v>
      </c>
      <c r="D79" s="627" t="str">
        <f>'1.13топливозаправщик'!K50</f>
        <v>Углеводороды предельные С12-С19</v>
      </c>
      <c r="E79" s="626">
        <f>'1.13топливозаправщик'!L50</f>
        <v>2754</v>
      </c>
      <c r="F79" s="631">
        <f>'1.13топливозаправщик'!N50</f>
        <v>6.3E-3</v>
      </c>
      <c r="G79" s="630">
        <f>'1.13топливозаправщик'!O50</f>
        <v>6.9999999999999999E-4</v>
      </c>
      <c r="H79" s="629">
        <f>'1.13топливозаправщик'!N90</f>
        <v>6.3E-3</v>
      </c>
      <c r="I79" s="630">
        <f>'1.13топливозаправщик'!O90</f>
        <v>9.7999999999999997E-4</v>
      </c>
      <c r="J79" s="631">
        <f>'1.13топливозаправщик'!N136</f>
        <v>6.3E-3</v>
      </c>
      <c r="K79" s="1058">
        <f>'1.13топливозаправщик'!O136</f>
        <v>5.1999999999999995E-4</v>
      </c>
      <c r="L79" s="629"/>
      <c r="M79" s="630"/>
    </row>
    <row r="80" spans="2:13" s="131" customFormat="1" ht="15" customHeight="1" x14ac:dyDescent="0.25">
      <c r="B80" s="1708"/>
      <c r="C80" s="632"/>
      <c r="D80" s="633" t="str">
        <f>'1.13топливозаправщик'!K51</f>
        <v>Сероводород</v>
      </c>
      <c r="E80" s="648" t="str">
        <f>'1.13топливозаправщик'!L51</f>
        <v>0333</v>
      </c>
      <c r="F80" s="637">
        <f>'1.13топливозаправщик'!N51</f>
        <v>2.0000000000000002E-5</v>
      </c>
      <c r="G80" s="636">
        <f>'1.13топливозаправщик'!O51</f>
        <v>1.9999999999999999E-6</v>
      </c>
      <c r="H80" s="649">
        <f>'1.13топливозаправщик'!N91</f>
        <v>2.0000000000000002E-5</v>
      </c>
      <c r="I80" s="650">
        <f>'1.13топливозаправщик'!O91</f>
        <v>3.0000000000000001E-6</v>
      </c>
      <c r="J80" s="677">
        <f>'1.13топливозаправщик'!N137</f>
        <v>2.0000000000000002E-5</v>
      </c>
      <c r="K80" s="1059">
        <f>'1.13топливозаправщик'!O137</f>
        <v>9.9999999999999995E-7</v>
      </c>
      <c r="L80" s="635"/>
      <c r="M80" s="636"/>
    </row>
    <row r="81" spans="2:13" s="105" customFormat="1" ht="15" customHeight="1" x14ac:dyDescent="0.25">
      <c r="B81" s="1706" t="s">
        <v>213</v>
      </c>
      <c r="C81" s="670">
        <v>7019</v>
      </c>
      <c r="D81" s="652" t="str">
        <f>'1.2погрузка экскаватором'!M41</f>
        <v>Пыль неорг.с сод-м SiO2 70-20%</v>
      </c>
      <c r="E81" s="653">
        <f>'1.2погрузка экскаватором'!N41</f>
        <v>2908</v>
      </c>
      <c r="F81" s="646">
        <f>'1.2погрузка экскаватором'!O41+'1.3земляные работы'!Q51</f>
        <v>0.2165</v>
      </c>
      <c r="G81" s="641">
        <f>'1.2погрузка экскаватором'!P41+'1.3земляные работы'!R51</f>
        <v>0.11990000000000001</v>
      </c>
      <c r="H81" s="646">
        <f>'1.2погрузка экскаватором'!O82+'1.3земляные работы'!Q157</f>
        <v>0.2165</v>
      </c>
      <c r="I81" s="641">
        <f>'1.2погрузка экскаватором'!P82+'1.3земляные работы'!R157</f>
        <v>0.11560000000000001</v>
      </c>
      <c r="J81" s="654">
        <f>'1.2погрузка экскаватором'!O107+'1.3земляные работы'!Q246</f>
        <v>0.2165</v>
      </c>
      <c r="K81" s="1061">
        <f>'1.2погрузка экскаватором'!P107+'1.3земляные работы'!R246</f>
        <v>6.8599999999999994E-2</v>
      </c>
      <c r="L81" s="658">
        <f>'1.2погрузка экскаватором'!O124+'1.3земляные работы'!Q321</f>
        <v>0.2165</v>
      </c>
      <c r="M81" s="641">
        <f>'1.2погрузка экскаватором'!P124+'1.3земляные работы'!R321</f>
        <v>4.7000000000000002E-3</v>
      </c>
    </row>
    <row r="82" spans="2:13" s="105" customFormat="1" ht="15" customHeight="1" x14ac:dyDescent="0.25">
      <c r="B82" s="1707"/>
      <c r="C82" s="670">
        <v>7020</v>
      </c>
      <c r="D82" s="652" t="str">
        <f>'1.4 транспортирование'!R53</f>
        <v>Пыль неорг. с сод-м SiO2 70-20%</v>
      </c>
      <c r="E82" s="653">
        <f>'1.4 транспортирование'!S53</f>
        <v>2908</v>
      </c>
      <c r="F82" s="654">
        <f>'1.4 транспортирование'!T53</f>
        <v>2.2000000000000001E-3</v>
      </c>
      <c r="G82" s="653">
        <f>'1.4 транспортирование'!U53</f>
        <v>1.0999999999999998E-3</v>
      </c>
      <c r="H82" s="646">
        <f>'1.4 транспортирование'!T113</f>
        <v>2.2000000000000001E-3</v>
      </c>
      <c r="I82" s="641">
        <f>'1.4 транспортирование'!U113</f>
        <v>1.0999999999999998E-3</v>
      </c>
      <c r="J82" s="654">
        <f>'1.4 транспортирование'!T182</f>
        <v>1.2999999999999999E-3</v>
      </c>
      <c r="K82" s="1061">
        <f>'1.4 транспортирование'!U182</f>
        <v>2.9999999999999997E-4</v>
      </c>
      <c r="L82" s="646">
        <f>'1.4 транспортирование'!T228</f>
        <v>1E-3</v>
      </c>
      <c r="M82" s="641">
        <f>'1.4 транспортирование'!U228</f>
        <v>3.0000000000000001E-5</v>
      </c>
    </row>
    <row r="83" spans="2:13" s="105" customFormat="1" ht="15" customHeight="1" x14ac:dyDescent="0.25">
      <c r="B83" s="1707"/>
      <c r="C83" s="668">
        <v>7021</v>
      </c>
      <c r="D83" s="644" t="str">
        <f>'1.5пересыпка материалов'!N40</f>
        <v>Пыль неорг.с сод-м SiO2 70-20%</v>
      </c>
      <c r="E83" s="645" t="str">
        <f>'1.5пересыпка материалов'!O40</f>
        <v>2908</v>
      </c>
      <c r="F83" s="168">
        <f>'1.5пересыпка материалов'!Q40</f>
        <v>2.3300000000000001E-2</v>
      </c>
      <c r="G83" s="641">
        <f>'1.5пересыпка материалов'!R40</f>
        <v>5.9999999999999995E-4</v>
      </c>
      <c r="H83" s="166">
        <f>'1.5пересыпка материалов'!Q47</f>
        <v>2.3300000000000001E-2</v>
      </c>
      <c r="I83" s="167">
        <f>'1.5пересыпка материалов'!R47</f>
        <v>5.0000000000000001E-4</v>
      </c>
      <c r="J83" s="178">
        <f>'1.5пересыпка материалов'!Q75</f>
        <v>2.3300000000000001E-2</v>
      </c>
      <c r="K83" s="1061">
        <f>'1.5пересыпка материалов'!R75</f>
        <v>5.0000000000000001E-4</v>
      </c>
      <c r="L83" s="166"/>
      <c r="M83" s="167"/>
    </row>
    <row r="84" spans="2:13" s="70" customFormat="1" ht="15" customHeight="1" x14ac:dyDescent="0.25">
      <c r="B84" s="1707"/>
      <c r="C84" s="671">
        <v>7022</v>
      </c>
      <c r="D84" s="139" t="str">
        <f>'1.7покраска'!K72</f>
        <v>Ксилол</v>
      </c>
      <c r="E84" s="140" t="str">
        <f>'1.7покраска'!L72</f>
        <v>0616</v>
      </c>
      <c r="F84" s="121">
        <f>'1.7покраска'!M72</f>
        <v>1.83E-2</v>
      </c>
      <c r="G84" s="129">
        <f>'1.7покраска'!N72</f>
        <v>6.77E-3</v>
      </c>
      <c r="H84" s="130">
        <f>'1.7покраска'!M131</f>
        <v>1.83E-2</v>
      </c>
      <c r="I84" s="129">
        <f>'1.7покраска'!N131</f>
        <v>5.77E-3</v>
      </c>
      <c r="J84" s="121">
        <f>'1.7покраска'!M307</f>
        <v>6.25E-2</v>
      </c>
      <c r="K84" s="1056">
        <f>'1.7покраска'!N307</f>
        <v>8.657999999999999E-2</v>
      </c>
      <c r="L84" s="130">
        <f>'1.7покраска'!M463</f>
        <v>6.25E-2</v>
      </c>
      <c r="M84" s="129">
        <f>'1.7покраска'!N463</f>
        <v>0.24979999999999999</v>
      </c>
    </row>
    <row r="85" spans="2:13" s="70" customFormat="1" ht="15" customHeight="1" x14ac:dyDescent="0.25">
      <c r="B85" s="1707"/>
      <c r="C85" s="668"/>
      <c r="D85" s="141" t="str">
        <f>'1.7покраска'!K73</f>
        <v>Уайт-спирит</v>
      </c>
      <c r="E85" s="143" t="str">
        <f>'1.7покраска'!L73</f>
        <v>2752</v>
      </c>
      <c r="F85" s="122">
        <f>'1.7покраска'!M73</f>
        <v>2.2800000000000001E-2</v>
      </c>
      <c r="G85" s="127">
        <f>'1.7покраска'!N73</f>
        <v>8.3999999999999995E-3</v>
      </c>
      <c r="H85" s="164">
        <f>'1.7покраска'!M132</f>
        <v>2.2800000000000001E-2</v>
      </c>
      <c r="I85" s="127">
        <f>'1.7покраска'!N132</f>
        <v>7.1999999999999998E-3</v>
      </c>
      <c r="J85" s="122">
        <f>'1.7покраска'!M308</f>
        <v>3.1300000000000001E-2</v>
      </c>
      <c r="K85" s="1053">
        <f>'1.7покраска'!N308</f>
        <v>2.3099999999999999E-2</v>
      </c>
      <c r="L85" s="164">
        <f>'1.7покраска'!M464</f>
        <v>3.1300000000000001E-2</v>
      </c>
      <c r="M85" s="127">
        <f>'1.7покраска'!N464</f>
        <v>0.11749999999999999</v>
      </c>
    </row>
    <row r="86" spans="2:13" s="70" customFormat="1" ht="15" customHeight="1" x14ac:dyDescent="0.25">
      <c r="B86" s="1707"/>
      <c r="C86" s="668"/>
      <c r="D86" s="141" t="str">
        <f>'1.7покраска'!K74</f>
        <v>Сольвент</v>
      </c>
      <c r="E86" s="143" t="str">
        <f>'1.7покраска'!L74</f>
        <v>2750</v>
      </c>
      <c r="F86" s="123">
        <f>'1.7покраска'!M74</f>
        <v>2.2800000000000001E-2</v>
      </c>
      <c r="G86" s="128">
        <f>'1.7покраска'!N74</f>
        <v>8.3999999999999995E-3</v>
      </c>
      <c r="H86" s="164">
        <f>'1.7покраска'!M133</f>
        <v>2.2800000000000001E-2</v>
      </c>
      <c r="I86" s="127">
        <f>'1.7покраска'!N133</f>
        <v>7.1999999999999998E-3</v>
      </c>
      <c r="J86" s="122">
        <f>'1.7покраска'!M309</f>
        <v>2.2800000000000001E-2</v>
      </c>
      <c r="K86" s="1053">
        <f>'1.7покраска'!N309</f>
        <v>6.8999999999999999E-3</v>
      </c>
      <c r="L86" s="164"/>
      <c r="M86" s="127"/>
    </row>
    <row r="87" spans="2:13" ht="15" customHeight="1" x14ac:dyDescent="0.25">
      <c r="B87" s="1707"/>
      <c r="C87" s="671">
        <v>7023</v>
      </c>
      <c r="D87" s="655" t="str">
        <f>'1.8 сварка'!G50</f>
        <v>Фтористые газ.соед</v>
      </c>
      <c r="E87" s="171" t="str">
        <f>'1.8 сварка'!H50</f>
        <v>0342</v>
      </c>
      <c r="F87" s="164">
        <f>'1.8 сварка'!J50</f>
        <v>2E-3</v>
      </c>
      <c r="G87" s="127">
        <f>'1.8 сварка'!K50</f>
        <v>6.0000000000000001E-3</v>
      </c>
      <c r="H87" s="130">
        <f>'1.8 сварка'!J131</f>
        <v>2.0999999999999999E-3</v>
      </c>
      <c r="I87" s="129">
        <f>'1.8 сварка'!K131</f>
        <v>6.4999999999999997E-3</v>
      </c>
      <c r="J87" s="121">
        <f>'1.8 сварка'!J252</f>
        <v>2.3E-3</v>
      </c>
      <c r="K87" s="1056">
        <f>'1.8 сварка'!K252</f>
        <v>4.7000000000000002E-3</v>
      </c>
      <c r="L87" s="130">
        <f>'1.8 сварка'!J357</f>
        <v>2.1399999999999999E-2</v>
      </c>
      <c r="M87" s="129">
        <f>'1.8 сварка'!K357</f>
        <v>2.1999999999999999E-2</v>
      </c>
    </row>
    <row r="88" spans="2:13" ht="15" customHeight="1" x14ac:dyDescent="0.25">
      <c r="B88" s="1707"/>
      <c r="C88" s="716"/>
      <c r="D88" s="656" t="str">
        <f>'1.8 сварка'!G51</f>
        <v>Диоксид азота</v>
      </c>
      <c r="E88" s="167" t="str">
        <f>'1.8 сварка'!H51</f>
        <v>0301</v>
      </c>
      <c r="F88" s="164">
        <f>'1.8 сварка'!J51</f>
        <v>3.8999999999999998E-3</v>
      </c>
      <c r="G88" s="127">
        <f>'1.8 сварка'!K51</f>
        <v>1.21E-2</v>
      </c>
      <c r="H88" s="164">
        <f>'1.8 сварка'!J132</f>
        <v>4.1999999999999997E-3</v>
      </c>
      <c r="I88" s="127">
        <f>'1.8 сварка'!K132</f>
        <v>1.2999999999999999E-2</v>
      </c>
      <c r="J88" s="122">
        <f>'1.8 сварка'!J253</f>
        <v>4.4999999999999997E-3</v>
      </c>
      <c r="K88" s="1053">
        <f>'1.8 сварка'!K253</f>
        <v>9.4000000000000004E-3</v>
      </c>
      <c r="L88" s="164">
        <f>'1.8 сварка'!J358</f>
        <v>4.2700000000000002E-2</v>
      </c>
      <c r="M88" s="127">
        <f>'1.8 сварка'!K358</f>
        <v>4.3999999999999997E-2</v>
      </c>
    </row>
    <row r="89" spans="2:13" ht="15" customHeight="1" x14ac:dyDescent="0.25">
      <c r="B89" s="1707"/>
      <c r="C89" s="716"/>
      <c r="D89" s="656" t="str">
        <f>'1.8 сварка'!G52</f>
        <v>Марганец и его соед.</v>
      </c>
      <c r="E89" s="167" t="str">
        <f>'1.8 сварка'!H52</f>
        <v>0143</v>
      </c>
      <c r="F89" s="164">
        <f>'1.8 сварка'!J52</f>
        <v>2.3999999999999998E-3</v>
      </c>
      <c r="G89" s="127">
        <f>'1.8 сварка'!K52</f>
        <v>7.4000000000000003E-3</v>
      </c>
      <c r="H89" s="164">
        <f>'1.8 сварка'!J133</f>
        <v>2.5999999999999999E-3</v>
      </c>
      <c r="I89" s="127">
        <f>'1.8 сварка'!K133</f>
        <v>8.0000000000000002E-3</v>
      </c>
      <c r="J89" s="122">
        <f>'1.8 сварка'!J254</f>
        <v>2.8E-3</v>
      </c>
      <c r="K89" s="1053">
        <f>'1.8 сварка'!K254</f>
        <v>5.7999999999999996E-3</v>
      </c>
      <c r="L89" s="164">
        <f>'1.8 сварка'!J359</f>
        <v>2.6200000000000001E-2</v>
      </c>
      <c r="M89" s="127">
        <f>'1.8 сварка'!K359</f>
        <v>2.7E-2</v>
      </c>
    </row>
    <row r="90" spans="2:13" ht="15" customHeight="1" x14ac:dyDescent="0.25">
      <c r="B90" s="1707"/>
      <c r="C90" s="716"/>
      <c r="D90" s="656" t="str">
        <f>'1.8 сварка'!G53</f>
        <v>Фториды</v>
      </c>
      <c r="E90" s="167" t="str">
        <f>'1.8 сварка'!H53</f>
        <v>0344</v>
      </c>
      <c r="F90" s="164">
        <f>'1.8 сварка'!J53</f>
        <v>8.6E-3</v>
      </c>
      <c r="G90" s="127">
        <f>'1.8 сварка'!K53</f>
        <v>2.6499999999999999E-2</v>
      </c>
      <c r="H90" s="164">
        <f>'1.8 сварка'!J134</f>
        <v>9.2999999999999992E-3</v>
      </c>
      <c r="I90" s="127">
        <f>'1.8 сварка'!K134</f>
        <v>2.86E-2</v>
      </c>
      <c r="J90" s="122">
        <f>'1.8 сварка'!J255</f>
        <v>0.01</v>
      </c>
      <c r="K90" s="1053">
        <f>'1.8 сварка'!K255</f>
        <v>2.06E-2</v>
      </c>
      <c r="L90" s="164">
        <f>'1.8 сварка'!J360</f>
        <v>9.4E-2</v>
      </c>
      <c r="M90" s="127">
        <f>'1.8 сварка'!K360</f>
        <v>9.6699999999999994E-2</v>
      </c>
    </row>
    <row r="91" spans="2:13" ht="15" customHeight="1" x14ac:dyDescent="0.25">
      <c r="B91" s="1707"/>
      <c r="C91" s="716"/>
      <c r="D91" s="656" t="str">
        <f>'1.8 сварка'!G54</f>
        <v>Железа оксид</v>
      </c>
      <c r="E91" s="167" t="str">
        <f>'1.8 сварка'!H54</f>
        <v>0123</v>
      </c>
      <c r="F91" s="164">
        <f>'1.8 сварка'!J54</f>
        <v>2.7900000000000001E-2</v>
      </c>
      <c r="G91" s="127">
        <f>'1.8 сварка'!K54</f>
        <v>8.5999999999999993E-2</v>
      </c>
      <c r="H91" s="164">
        <f>'1.8 сварка'!J135</f>
        <v>0.03</v>
      </c>
      <c r="I91" s="127">
        <f>'1.8 сварка'!K135</f>
        <v>9.2799999999999994E-2</v>
      </c>
      <c r="J91" s="122">
        <f>'1.8 сварка'!J256</f>
        <v>3.2399999999999998E-2</v>
      </c>
      <c r="K91" s="1053">
        <f>'1.8 сварка'!K256</f>
        <v>6.6799999999999998E-2</v>
      </c>
      <c r="L91" s="164">
        <f>'1.8 сварка'!J361</f>
        <v>0.3044</v>
      </c>
      <c r="M91" s="127">
        <f>'1.8 сварка'!K361</f>
        <v>0.31319999999999998</v>
      </c>
    </row>
    <row r="92" spans="2:13" ht="15" customHeight="1" x14ac:dyDescent="0.25">
      <c r="B92" s="1707"/>
      <c r="C92" s="716"/>
      <c r="D92" s="656" t="str">
        <f>'1.8 сварка'!G55</f>
        <v>Пыль неорг.с сод-м SiO2 70-20 %</v>
      </c>
      <c r="E92" s="167">
        <f>'1.8 сварка'!H55</f>
        <v>2908</v>
      </c>
      <c r="F92" s="164">
        <f>'1.8 сварка'!J55</f>
        <v>3.7000000000000002E-3</v>
      </c>
      <c r="G92" s="127">
        <f>'1.8 сварка'!K55</f>
        <v>1.1299999999999999E-2</v>
      </c>
      <c r="H92" s="164">
        <f>'1.8 сварка'!J136</f>
        <v>3.8999999999999998E-3</v>
      </c>
      <c r="I92" s="127">
        <f>'1.8 сварка'!K136</f>
        <v>1.2200000000000001E-2</v>
      </c>
      <c r="J92" s="122">
        <f>'1.8 сварка'!J257</f>
        <v>4.1999999999999997E-3</v>
      </c>
      <c r="K92" s="1053">
        <f>'1.8 сварка'!K257</f>
        <v>8.8000000000000005E-3</v>
      </c>
      <c r="L92" s="164">
        <f>'1.8 сварка'!J362</f>
        <v>3.9899999999999998E-2</v>
      </c>
      <c r="M92" s="127">
        <f>'1.8 сварка'!K362</f>
        <v>4.1000000000000002E-2</v>
      </c>
    </row>
    <row r="93" spans="2:13" ht="15" customHeight="1" x14ac:dyDescent="0.25">
      <c r="B93" s="1707"/>
      <c r="C93" s="716"/>
      <c r="D93" s="657" t="str">
        <f>'1.8 сварка'!G56</f>
        <v>Оксид углерода</v>
      </c>
      <c r="E93" s="169" t="str">
        <f>'1.8 сварка'!H56</f>
        <v>0337</v>
      </c>
      <c r="F93" s="164">
        <f>'1.8 сварка'!J56</f>
        <v>3.4700000000000002E-2</v>
      </c>
      <c r="G93" s="128">
        <f>'1.8 сварка'!K56</f>
        <v>0.107</v>
      </c>
      <c r="H93" s="165">
        <f>'1.8 сварка'!J137</f>
        <v>3.73E-2</v>
      </c>
      <c r="I93" s="128">
        <f>'1.8 сварка'!K137</f>
        <v>0.11550000000000001</v>
      </c>
      <c r="J93" s="123">
        <f>'1.8 сварка'!J258</f>
        <v>4.0300000000000002E-2</v>
      </c>
      <c r="K93" s="1057">
        <f>'1.8 сварка'!K258</f>
        <v>8.3099999999999993E-2</v>
      </c>
      <c r="L93" s="165">
        <f>'1.8 сварка'!J363</f>
        <v>0.37869999999999998</v>
      </c>
      <c r="M93" s="128">
        <f>'1.8 сварка'!K363</f>
        <v>0.38969999999999999</v>
      </c>
    </row>
    <row r="94" spans="2:13" s="131" customFormat="1" ht="15" customHeight="1" x14ac:dyDescent="0.25">
      <c r="B94" s="1707"/>
      <c r="C94" s="626">
        <v>7024</v>
      </c>
      <c r="D94" s="627" t="str">
        <f>'1.13топливозаправщик'!K53</f>
        <v>Углеводороды предельные С12-С19</v>
      </c>
      <c r="E94" s="630">
        <f>'1.13топливозаправщик'!L53</f>
        <v>2754</v>
      </c>
      <c r="F94" s="629">
        <f>'1.13топливозаправщик'!N53</f>
        <v>6.3E-3</v>
      </c>
      <c r="G94" s="630">
        <f>'1.13топливозаправщик'!O53</f>
        <v>1.6800000000000001E-3</v>
      </c>
      <c r="H94" s="629">
        <f>'1.13топливозаправщик'!N93</f>
        <v>6.3E-3</v>
      </c>
      <c r="I94" s="630">
        <f>'1.13топливозаправщик'!O93</f>
        <v>1.67E-3</v>
      </c>
      <c r="J94" s="631">
        <f>'1.13топливозаправщик'!N139</f>
        <v>6.3E-3</v>
      </c>
      <c r="K94" s="1058">
        <f>'1.13топливозаправщик'!O139</f>
        <v>7.3999999999999999E-4</v>
      </c>
      <c r="L94" s="629">
        <f>'1.13топливозаправщик'!N182</f>
        <v>6.3E-3</v>
      </c>
      <c r="M94" s="630">
        <f>'1.13топливозаправщик'!O182</f>
        <v>2.5000000000000001E-4</v>
      </c>
    </row>
    <row r="95" spans="2:13" s="131" customFormat="1" ht="15" customHeight="1" x14ac:dyDescent="0.25">
      <c r="B95" s="1708"/>
      <c r="C95" s="632"/>
      <c r="D95" s="633" t="str">
        <f>'1.13топливозаправщик'!K54</f>
        <v>Сероводород</v>
      </c>
      <c r="E95" s="648" t="str">
        <f>'1.13топливозаправщик'!L54</f>
        <v>0333</v>
      </c>
      <c r="F95" s="649">
        <f>'1.13топливозаправщик'!N54</f>
        <v>2.0000000000000002E-5</v>
      </c>
      <c r="G95" s="636">
        <f>'1.13топливозаправщик'!O54</f>
        <v>5.0000000000000004E-6</v>
      </c>
      <c r="H95" s="649">
        <f>'1.13топливозаправщик'!N94</f>
        <v>2.0000000000000002E-5</v>
      </c>
      <c r="I95" s="650">
        <f>'1.13топливозаправщик'!O94</f>
        <v>5.0000000000000004E-6</v>
      </c>
      <c r="J95" s="677">
        <f>'1.13топливозаправщик'!N140</f>
        <v>2.0000000000000002E-5</v>
      </c>
      <c r="K95" s="1059">
        <f>'1.13топливозаправщик'!O140</f>
        <v>1.9999999999999999E-6</v>
      </c>
      <c r="L95" s="635">
        <f>'1.13топливозаправщик'!N183</f>
        <v>2.0000000000000002E-5</v>
      </c>
      <c r="M95" s="636">
        <f>'1.13топливозаправщик'!O183</f>
        <v>9.9999999999999995E-7</v>
      </c>
    </row>
    <row r="96" spans="2:13" s="659" customFormat="1" ht="15" customHeight="1" x14ac:dyDescent="0.25">
      <c r="B96" s="1706" t="s">
        <v>215</v>
      </c>
      <c r="C96" s="670">
        <v>7025</v>
      </c>
      <c r="D96" s="652" t="str">
        <f>'1.2погрузка экскаватором'!M45</f>
        <v>Пыль неорг.с сод-м SiO2 70-20%</v>
      </c>
      <c r="E96" s="653">
        <f>'1.2погрузка экскаватором'!N45</f>
        <v>2908</v>
      </c>
      <c r="F96" s="646">
        <f>'1.2погрузка экскаватором'!O45+'1.3земляные работы'!Q53</f>
        <v>0.26019999999999999</v>
      </c>
      <c r="G96" s="641">
        <f>'1.2погрузка экскаватором'!P45+'1.3земляные работы'!R53</f>
        <v>0.65410000000000001</v>
      </c>
      <c r="H96" s="646">
        <f>'1.3земляные работы'!Q159</f>
        <v>2.92E-2</v>
      </c>
      <c r="I96" s="641">
        <f>'1.3земляные работы'!R159</f>
        <v>0.18049999999999999</v>
      </c>
      <c r="J96" s="654">
        <f>'1.3земляные работы'!Q248</f>
        <v>2.92E-2</v>
      </c>
      <c r="K96" s="658">
        <f>'1.3земляные работы'!R248</f>
        <v>7.7399999999999997E-2</v>
      </c>
      <c r="L96" s="646"/>
      <c r="M96" s="641"/>
    </row>
    <row r="97" spans="2:13" s="105" customFormat="1" ht="15" customHeight="1" x14ac:dyDescent="0.25">
      <c r="B97" s="1707"/>
      <c r="C97" s="670">
        <v>7026</v>
      </c>
      <c r="D97" s="652" t="str">
        <f>'1.4 транспортирование'!R57</f>
        <v>Пыль неорг. с сод-м SiO2 70-20%</v>
      </c>
      <c r="E97" s="653">
        <f>'1.4 транспортирование'!S57</f>
        <v>2908</v>
      </c>
      <c r="F97" s="646">
        <f>'1.4 транспортирование'!T57</f>
        <v>5.3E-3</v>
      </c>
      <c r="G97" s="641">
        <f>'1.4 транспортирование'!U57</f>
        <v>1.17E-2</v>
      </c>
      <c r="H97" s="646"/>
      <c r="I97" s="641"/>
      <c r="J97" s="654"/>
      <c r="K97" s="1061"/>
      <c r="L97" s="646"/>
      <c r="M97" s="641"/>
    </row>
    <row r="98" spans="2:13" s="659" customFormat="1" ht="15" customHeight="1" x14ac:dyDescent="0.25">
      <c r="B98" s="1707"/>
      <c r="C98" s="668">
        <v>7027</v>
      </c>
      <c r="D98" s="644" t="str">
        <f>'1.5пересыпка материалов'!N81</f>
        <v>Пыль неорг.с сод-м SiO2 70-20%</v>
      </c>
      <c r="E98" s="645" t="str">
        <f>'1.5пересыпка материалов'!O81</f>
        <v>2908</v>
      </c>
      <c r="F98" s="168"/>
      <c r="G98" s="641"/>
      <c r="H98" s="166"/>
      <c r="I98" s="167"/>
      <c r="J98" s="654">
        <f>'1.5пересыпка материалов'!Q81</f>
        <v>0.23330000000000001</v>
      </c>
      <c r="K98" s="1061">
        <f>'1.5пересыпка материалов'!R81</f>
        <v>7.3000000000000009E-2</v>
      </c>
      <c r="L98" s="166"/>
      <c r="M98" s="167"/>
    </row>
    <row r="99" spans="2:13" ht="15" customHeight="1" x14ac:dyDescent="0.25">
      <c r="B99" s="1707"/>
      <c r="C99" s="671">
        <v>7028</v>
      </c>
      <c r="D99" s="655" t="str">
        <f>'1.7покраска'!K339</f>
        <v>Уайт-спирит</v>
      </c>
      <c r="E99" s="171" t="str">
        <f>'1.7покраска'!L339</f>
        <v>2752</v>
      </c>
      <c r="F99" s="164"/>
      <c r="G99" s="129"/>
      <c r="H99" s="130"/>
      <c r="I99" s="129"/>
      <c r="J99" s="122">
        <f>'1.7покраска'!M339</f>
        <v>4.5600000000000002E-2</v>
      </c>
      <c r="K99" s="1053">
        <f>'1.7покраска'!N339</f>
        <v>4.9999999999999996E-2</v>
      </c>
      <c r="L99" s="130">
        <f>'1.7покраска'!M476</f>
        <v>0.1125</v>
      </c>
      <c r="M99" s="129">
        <f>'1.7покраска'!N476</f>
        <v>0.31889999999999996</v>
      </c>
    </row>
    <row r="100" spans="2:13" ht="15" customHeight="1" x14ac:dyDescent="0.25">
      <c r="B100" s="1707"/>
      <c r="C100" s="668"/>
      <c r="D100" s="656" t="str">
        <f>'1.7покраска'!K340</f>
        <v>Ксилол</v>
      </c>
      <c r="E100" s="167" t="str">
        <f>'1.7покраска'!L340</f>
        <v>0616</v>
      </c>
      <c r="F100" s="164"/>
      <c r="G100" s="127"/>
      <c r="H100" s="164"/>
      <c r="I100" s="127"/>
      <c r="J100" s="122">
        <f>'1.7покраска'!M340</f>
        <v>0.31109999999999999</v>
      </c>
      <c r="K100" s="1053">
        <f>'1.7покраска'!N340</f>
        <v>1.0824</v>
      </c>
      <c r="L100" s="164">
        <f>'1.7покраска'!M478</f>
        <v>0.22500000000000001</v>
      </c>
      <c r="M100" s="127">
        <f>'1.7покраска'!N478</f>
        <v>0.58386999999999989</v>
      </c>
    </row>
    <row r="101" spans="2:13" ht="15" customHeight="1" x14ac:dyDescent="0.25">
      <c r="B101" s="1707"/>
      <c r="C101" s="668"/>
      <c r="D101" s="656" t="str">
        <f>'1.7покраска'!K341</f>
        <v>Сольвент</v>
      </c>
      <c r="E101" s="167" t="str">
        <f>'1.7покраска'!L341</f>
        <v>2750</v>
      </c>
      <c r="F101" s="164"/>
      <c r="G101" s="127"/>
      <c r="H101" s="164"/>
      <c r="I101" s="127"/>
      <c r="J101" s="122">
        <f>'1.7покраска'!M341</f>
        <v>0.48609999999999998</v>
      </c>
      <c r="K101" s="1053">
        <f>'1.7покраска'!N341</f>
        <v>2.2664299999999997</v>
      </c>
      <c r="L101" s="164">
        <f>'1.7покраска'!M477</f>
        <v>5.4699999999999999E-2</v>
      </c>
      <c r="M101" s="127">
        <f>'1.7покраска'!N477</f>
        <v>2.5700000000000001E-2</v>
      </c>
    </row>
    <row r="102" spans="2:13" ht="15" customHeight="1" x14ac:dyDescent="0.25">
      <c r="B102" s="1707"/>
      <c r="C102" s="668"/>
      <c r="D102" s="656" t="str">
        <f>'1.7покраска'!K342</f>
        <v>Этиловый спирт</v>
      </c>
      <c r="E102" s="167" t="str">
        <f>'1.7покраска'!L342</f>
        <v>1061</v>
      </c>
      <c r="F102" s="164"/>
      <c r="G102" s="127"/>
      <c r="H102" s="164"/>
      <c r="I102" s="127"/>
      <c r="J102" s="122">
        <f>'1.7покраска'!M342</f>
        <v>4.48E-2</v>
      </c>
      <c r="K102" s="1053">
        <f>'1.7покраска'!N342</f>
        <v>0.1027</v>
      </c>
      <c r="L102" s="164"/>
      <c r="M102" s="127"/>
    </row>
    <row r="103" spans="2:13" ht="15" customHeight="1" x14ac:dyDescent="0.25">
      <c r="B103" s="1707"/>
      <c r="C103" s="668"/>
      <c r="D103" s="656" t="str">
        <f>'1.7покраска'!K343</f>
        <v>Бутиловый спирт</v>
      </c>
      <c r="E103" s="167" t="str">
        <f>'1.7покраска'!L343</f>
        <v>1042</v>
      </c>
      <c r="F103" s="164"/>
      <c r="G103" s="127"/>
      <c r="H103" s="164"/>
      <c r="I103" s="127"/>
      <c r="J103" s="122">
        <f>'1.7покраска'!M343</f>
        <v>0.224</v>
      </c>
      <c r="K103" s="1053">
        <f>'1.7покраска'!N343</f>
        <v>0.29008</v>
      </c>
      <c r="L103" s="164"/>
      <c r="M103" s="127"/>
    </row>
    <row r="104" spans="2:13" ht="15" customHeight="1" x14ac:dyDescent="0.25">
      <c r="B104" s="1707"/>
      <c r="C104" s="668"/>
      <c r="D104" s="656" t="str">
        <f>'1.7покраска'!K344</f>
        <v>Ацетон</v>
      </c>
      <c r="E104" s="167" t="str">
        <f>'1.7покраска'!L344</f>
        <v>1401</v>
      </c>
      <c r="F104" s="164"/>
      <c r="G104" s="127"/>
      <c r="H104" s="164"/>
      <c r="I104" s="127"/>
      <c r="J104" s="122">
        <f>'1.7покраска'!M344</f>
        <v>3.2300000000000002E-2</v>
      </c>
      <c r="K104" s="1053">
        <f>'1.7покраска'!N344</f>
        <v>8.5499999999999993E-2</v>
      </c>
      <c r="L104" s="164"/>
      <c r="M104" s="127"/>
    </row>
    <row r="105" spans="2:13" ht="15" customHeight="1" x14ac:dyDescent="0.25">
      <c r="B105" s="1707"/>
      <c r="C105" s="668"/>
      <c r="D105" s="656" t="str">
        <f>'1.7покраска'!K345</f>
        <v>Бутилацетат</v>
      </c>
      <c r="E105" s="167" t="str">
        <f>'1.7покраска'!L345</f>
        <v>1210</v>
      </c>
      <c r="F105" s="164"/>
      <c r="G105" s="127"/>
      <c r="H105" s="164"/>
      <c r="I105" s="127"/>
      <c r="J105" s="122">
        <f>'1.7покраска'!M345</f>
        <v>0.26650000000000001</v>
      </c>
      <c r="K105" s="1053">
        <f>'1.7покраска'!N345</f>
        <v>1.3784999999999998</v>
      </c>
      <c r="L105" s="164"/>
      <c r="M105" s="127"/>
    </row>
    <row r="106" spans="2:13" ht="15" customHeight="1" x14ac:dyDescent="0.25">
      <c r="B106" s="1707"/>
      <c r="C106" s="668"/>
      <c r="D106" s="656" t="str">
        <f>'1.7покраска'!K346</f>
        <v>Этилацетат</v>
      </c>
      <c r="E106" s="167" t="str">
        <f>'1.7покраска'!L346</f>
        <v>1240</v>
      </c>
      <c r="F106" s="164"/>
      <c r="G106" s="127"/>
      <c r="H106" s="164"/>
      <c r="I106" s="127"/>
      <c r="J106" s="122">
        <f>'1.7покраска'!M346</f>
        <v>0.12920000000000001</v>
      </c>
      <c r="K106" s="1053">
        <f>'1.7покраска'!N346</f>
        <v>0.33339999999999997</v>
      </c>
      <c r="L106" s="164"/>
      <c r="M106" s="127"/>
    </row>
    <row r="107" spans="2:13" ht="15" customHeight="1" x14ac:dyDescent="0.25">
      <c r="B107" s="1707"/>
      <c r="C107" s="668"/>
      <c r="D107" s="656" t="str">
        <f>'1.7покраска'!K347</f>
        <v>Углеводороды предельные С12-С19</v>
      </c>
      <c r="E107" s="167" t="str">
        <f>'1.7покраска'!L347</f>
        <v>2754</v>
      </c>
      <c r="F107" s="164"/>
      <c r="G107" s="127"/>
      <c r="H107" s="164"/>
      <c r="I107" s="127"/>
      <c r="J107" s="122">
        <f>'1.7покраска'!M347</f>
        <v>0.41670000000000001</v>
      </c>
      <c r="K107" s="1053">
        <f>'1.7покраска'!N347</f>
        <v>0.81899999999999995</v>
      </c>
      <c r="L107" s="164">
        <f>'1.7покраска'!M479</f>
        <v>6.25E-2</v>
      </c>
      <c r="M107" s="127">
        <f>'1.7покраска'!N479</f>
        <v>3.7000000000000002E-3</v>
      </c>
    </row>
    <row r="108" spans="2:13" ht="15" customHeight="1" x14ac:dyDescent="0.25">
      <c r="B108" s="1707"/>
      <c r="C108" s="668"/>
      <c r="D108" s="657" t="str">
        <f>'1.7покраска'!K348</f>
        <v>Толуол</v>
      </c>
      <c r="E108" s="169" t="str">
        <f>'1.7покраска'!L348</f>
        <v>0621</v>
      </c>
      <c r="F108" s="123"/>
      <c r="G108" s="128"/>
      <c r="H108" s="165"/>
      <c r="I108" s="128"/>
      <c r="J108" s="123">
        <f>'1.7покраска'!M348</f>
        <v>0.34720000000000001</v>
      </c>
      <c r="K108" s="1057">
        <f>'1.7покраска'!N348</f>
        <v>1.1012</v>
      </c>
      <c r="L108" s="165"/>
      <c r="M108" s="128"/>
    </row>
    <row r="109" spans="2:13" ht="15" customHeight="1" x14ac:dyDescent="0.25">
      <c r="B109" s="1707"/>
      <c r="C109" s="671">
        <v>7029</v>
      </c>
      <c r="D109" s="655" t="str">
        <f>'1.8 сварка'!G58</f>
        <v>Фтористые газ.соед</v>
      </c>
      <c r="E109" s="171" t="str">
        <f>'1.8 сварка'!H58</f>
        <v>0342</v>
      </c>
      <c r="F109" s="177">
        <f>'1.8 сварка'!J58</f>
        <v>4.0000000000000002E-4</v>
      </c>
      <c r="G109" s="171">
        <f>'1.8 сварка'!K58</f>
        <v>8.9999999999999998E-4</v>
      </c>
      <c r="H109" s="130">
        <f>'1.8 сварка'!J139</f>
        <v>7.7000000000000002E-3</v>
      </c>
      <c r="I109" s="129">
        <f>'1.8 сварка'!K139</f>
        <v>6.3500000000000001E-2</v>
      </c>
      <c r="J109" s="121">
        <f>'1.8 сварка'!J260</f>
        <v>1.2500000000000001E-2</v>
      </c>
      <c r="K109" s="1056">
        <f>'1.8 сварка'!K260</f>
        <v>7.7200000000000005E-2</v>
      </c>
      <c r="L109" s="130">
        <f>'1.8 сварка'!J365</f>
        <v>2.64E-2</v>
      </c>
      <c r="M109" s="129">
        <f>'1.8 сварка'!K365</f>
        <v>8.1699999999999995E-2</v>
      </c>
    </row>
    <row r="110" spans="2:13" ht="15" customHeight="1" x14ac:dyDescent="0.25">
      <c r="B110" s="1707"/>
      <c r="C110" s="716"/>
      <c r="D110" s="656" t="str">
        <f>'1.8 сварка'!G59</f>
        <v>Диоксид азота</v>
      </c>
      <c r="E110" s="167" t="str">
        <f>'1.8 сварка'!H59</f>
        <v>0301</v>
      </c>
      <c r="F110" s="178">
        <f>'1.8 сварка'!J59</f>
        <v>8.9999999999999998E-4</v>
      </c>
      <c r="G110" s="167">
        <f>'1.8 сварка'!K59</f>
        <v>1.8E-3</v>
      </c>
      <c r="H110" s="164">
        <f>'1.8 сварка'!J140</f>
        <v>1.54E-2</v>
      </c>
      <c r="I110" s="127">
        <f>'1.8 сварка'!K140</f>
        <v>0.127</v>
      </c>
      <c r="J110" s="122">
        <f>'1.8 сварка'!J261</f>
        <v>2.5000000000000001E-2</v>
      </c>
      <c r="K110" s="1053">
        <f>'1.8 сварка'!K261</f>
        <v>0.1545</v>
      </c>
      <c r="L110" s="164">
        <f>'1.8 сварка'!J366</f>
        <v>5.2900000000000003E-2</v>
      </c>
      <c r="M110" s="127">
        <f>'1.8 сварка'!K366</f>
        <v>0.1633</v>
      </c>
    </row>
    <row r="111" spans="2:13" ht="15" customHeight="1" x14ac:dyDescent="0.25">
      <c r="B111" s="1707"/>
      <c r="C111" s="716"/>
      <c r="D111" s="656" t="str">
        <f>'1.8 сварка'!G60</f>
        <v>Марганец и его соед.</v>
      </c>
      <c r="E111" s="167" t="str">
        <f>'1.8 сварка'!H60</f>
        <v>0143</v>
      </c>
      <c r="F111" s="178">
        <f>'1.8 сварка'!J60</f>
        <v>5.0000000000000001E-4</v>
      </c>
      <c r="G111" s="167">
        <f>'1.8 сварка'!K60</f>
        <v>1.1000000000000001E-3</v>
      </c>
      <c r="H111" s="164">
        <f>'1.8 сварка'!J141</f>
        <v>9.4999999999999998E-3</v>
      </c>
      <c r="I111" s="127">
        <f>'1.8 сварка'!K141</f>
        <v>7.7899999999999997E-2</v>
      </c>
      <c r="J111" s="122">
        <f>'1.8 сварка'!J262</f>
        <v>1.5299999999999999E-2</v>
      </c>
      <c r="K111" s="1053">
        <f>'1.8 сварка'!K262</f>
        <v>9.4799999999999995E-2</v>
      </c>
      <c r="L111" s="164">
        <f>'1.8 сварка'!J367</f>
        <v>3.2399999999999998E-2</v>
      </c>
      <c r="M111" s="127">
        <f>'1.8 сварка'!K367</f>
        <v>0.1002</v>
      </c>
    </row>
    <row r="112" spans="2:13" ht="15" customHeight="1" x14ac:dyDescent="0.25">
      <c r="B112" s="1707"/>
      <c r="C112" s="716"/>
      <c r="D112" s="656" t="str">
        <f>'1.8 сварка'!G61</f>
        <v>Фториды</v>
      </c>
      <c r="E112" s="167" t="str">
        <f>'1.8 сварка'!H61</f>
        <v>0344</v>
      </c>
      <c r="F112" s="178">
        <f>'1.8 сварка'!J61</f>
        <v>1.9E-3</v>
      </c>
      <c r="G112" s="167">
        <f>'1.8 сварка'!K61</f>
        <v>3.8999999999999998E-3</v>
      </c>
      <c r="H112" s="164">
        <f>'1.8 сварка'!J142</f>
        <v>3.39E-2</v>
      </c>
      <c r="I112" s="127">
        <f>'1.8 сварка'!K142</f>
        <v>0.27950000000000003</v>
      </c>
      <c r="J112" s="122">
        <f>'1.8 сварка'!J263</f>
        <v>5.5E-2</v>
      </c>
      <c r="K112" s="1053">
        <f>'1.8 сварка'!K263</f>
        <v>0.33989999999999998</v>
      </c>
      <c r="L112" s="164">
        <f>'1.8 сварка'!J368</f>
        <v>0.1163</v>
      </c>
      <c r="M112" s="127">
        <f>'1.8 сварка'!K368</f>
        <v>0.35930000000000001</v>
      </c>
    </row>
    <row r="113" spans="2:13" ht="15" customHeight="1" x14ac:dyDescent="0.25">
      <c r="B113" s="1707"/>
      <c r="C113" s="716"/>
      <c r="D113" s="656" t="str">
        <f>'1.8 сварка'!G62</f>
        <v>Железа оксид</v>
      </c>
      <c r="E113" s="167" t="str">
        <f>'1.8 сварка'!H62</f>
        <v>0123</v>
      </c>
      <c r="F113" s="178">
        <f>'1.8 сварка'!J62</f>
        <v>6.1000000000000004E-3</v>
      </c>
      <c r="G113" s="167">
        <f>'1.8 сварка'!K62</f>
        <v>1.2500000000000001E-2</v>
      </c>
      <c r="H113" s="164">
        <f>'1.8 сварка'!J143</f>
        <v>0.1099</v>
      </c>
      <c r="I113" s="127">
        <f>'1.8 сварка'!K143</f>
        <v>0.90539999999999998</v>
      </c>
      <c r="J113" s="122">
        <f>'1.8 сварка'!J264</f>
        <v>0.1782</v>
      </c>
      <c r="K113" s="1053">
        <f>'1.8 сварка'!K264</f>
        <v>1.101</v>
      </c>
      <c r="L113" s="164">
        <f>'1.8 сварка'!J369</f>
        <v>0.37680000000000002</v>
      </c>
      <c r="M113" s="127">
        <f>'1.8 сварка'!K369</f>
        <v>1.1637999999999999</v>
      </c>
    </row>
    <row r="114" spans="2:13" ht="15" customHeight="1" x14ac:dyDescent="0.25">
      <c r="B114" s="1707"/>
      <c r="C114" s="716"/>
      <c r="D114" s="656" t="str">
        <f>'1.8 сварка'!G63</f>
        <v>Пыль неорг.с сод-м SiO2 70-20 %</v>
      </c>
      <c r="E114" s="167">
        <f>'1.8 сварка'!H63</f>
        <v>2908</v>
      </c>
      <c r="F114" s="178">
        <f>'1.8 сварка'!J63</f>
        <v>8.0000000000000004E-4</v>
      </c>
      <c r="G114" s="167">
        <f>'1.8 сварка'!K63</f>
        <v>1.6000000000000001E-3</v>
      </c>
      <c r="H114" s="164">
        <f>'1.8 сварка'!J144</f>
        <v>1.44E-2</v>
      </c>
      <c r="I114" s="127">
        <f>'1.8 сварка'!K144</f>
        <v>0.1186</v>
      </c>
      <c r="J114" s="122">
        <f>'1.8 сварка'!J265</f>
        <v>2.3300000000000001E-2</v>
      </c>
      <c r="K114" s="1053">
        <f>'1.8 сварка'!K265</f>
        <v>0.14419999999999999</v>
      </c>
      <c r="L114" s="164">
        <f>'1.8 сварка'!J370</f>
        <v>4.9399999999999999E-2</v>
      </c>
      <c r="M114" s="127">
        <f>'1.8 сварка'!K370</f>
        <v>0.15240000000000001</v>
      </c>
    </row>
    <row r="115" spans="2:13" ht="15" customHeight="1" x14ac:dyDescent="0.25">
      <c r="B115" s="1707"/>
      <c r="C115" s="716"/>
      <c r="D115" s="656" t="str">
        <f>'1.8 сварка'!G64</f>
        <v>Оксид углерода</v>
      </c>
      <c r="E115" s="167" t="str">
        <f>'1.8 сварка'!H64</f>
        <v>0337</v>
      </c>
      <c r="F115" s="178">
        <f>'1.8 сварка'!J64</f>
        <v>7.4999999999999997E-3</v>
      </c>
      <c r="G115" s="167">
        <f>'1.8 сварка'!K64</f>
        <v>1.5599999999999999E-2</v>
      </c>
      <c r="H115" s="164">
        <f>'1.8 сварка'!J145</f>
        <v>0.1368</v>
      </c>
      <c r="I115" s="127">
        <f>'1.8 сварка'!K145</f>
        <v>1.1265000000000001</v>
      </c>
      <c r="J115" s="122">
        <f>'1.8 сварка'!J266+'1.9сварка полиэтилена'!H79</f>
        <v>0.22170317</v>
      </c>
      <c r="K115" s="1053">
        <f>'1.8 сварка'!K266+'1.9сварка полиэтилена'!I79</f>
        <v>1.3699021899999999</v>
      </c>
      <c r="L115" s="164">
        <f>'1.8 сварка'!J371+'1.9сварка полиэтилена'!H107</f>
        <v>0.46880104</v>
      </c>
      <c r="M115" s="127">
        <f>'1.8 сварка'!K371+'1.9сварка полиэтилена'!I107</f>
        <v>1.4480010800000001</v>
      </c>
    </row>
    <row r="116" spans="2:13" ht="15" customHeight="1" x14ac:dyDescent="0.25">
      <c r="B116" s="1707"/>
      <c r="C116" s="717"/>
      <c r="D116" s="657" t="str">
        <f>'1.9сварка полиэтилена'!F80</f>
        <v>Хлорэтилен /Винилхлорид/</v>
      </c>
      <c r="E116" s="660" t="str">
        <f>'1.9сварка полиэтилена'!G80</f>
        <v>0827</v>
      </c>
      <c r="F116" s="165"/>
      <c r="G116" s="128"/>
      <c r="H116" s="165"/>
      <c r="I116" s="128"/>
      <c r="J116" s="123">
        <f>'1.9сварка полиэтилена'!H80</f>
        <v>1.37E-6</v>
      </c>
      <c r="K116" s="1057">
        <f>'1.9сварка полиэтилена'!I80</f>
        <v>9.5000000000000001E-7</v>
      </c>
      <c r="L116" s="165">
        <f>'1.9сварка полиэтилена'!H108</f>
        <v>4.4999999999999998E-7</v>
      </c>
      <c r="M116" s="128">
        <f>'1.9сварка полиэтилена'!I108</f>
        <v>4.7E-7</v>
      </c>
    </row>
    <row r="117" spans="2:13" s="131" customFormat="1" ht="15" customHeight="1" x14ac:dyDescent="0.25">
      <c r="B117" s="1707"/>
      <c r="C117" s="626">
        <v>7031</v>
      </c>
      <c r="D117" s="627" t="str">
        <f>'1.13топливозаправщик'!K56</f>
        <v>Углеводороды предельные С12-С19</v>
      </c>
      <c r="E117" s="626">
        <f>'1.13топливозаправщик'!L56</f>
        <v>2754</v>
      </c>
      <c r="F117" s="629">
        <f>'1.13топливозаправщик'!N56</f>
        <v>6.3E-3</v>
      </c>
      <c r="G117" s="630">
        <f>'1.13топливозаправщик'!O56</f>
        <v>2.6800000000000001E-3</v>
      </c>
      <c r="H117" s="629">
        <f>'1.13топливозаправщик'!N96</f>
        <v>6.3E-3</v>
      </c>
      <c r="I117" s="630">
        <f>'1.13топливозаправщик'!O96</f>
        <v>5.2199999999999998E-3</v>
      </c>
      <c r="J117" s="631">
        <f>'1.13топливозаправщик'!N142</f>
        <v>6.3E-3</v>
      </c>
      <c r="K117" s="1058">
        <f>'1.13топливозаправщик'!O142</f>
        <v>2.5899999999999999E-3</v>
      </c>
      <c r="L117" s="629">
        <f>'1.13топливозаправщик'!N185</f>
        <v>6.3E-3</v>
      </c>
      <c r="M117" s="630">
        <f>'1.13топливозаправщик'!O185</f>
        <v>1.6000000000000001E-4</v>
      </c>
    </row>
    <row r="118" spans="2:13" s="131" customFormat="1" ht="15" customHeight="1" x14ac:dyDescent="0.25">
      <c r="B118" s="1708"/>
      <c r="C118" s="632"/>
      <c r="D118" s="639" t="str">
        <f>'1.13топливозаправщик'!K57</f>
        <v>Сероводород</v>
      </c>
      <c r="E118" s="632" t="str">
        <f>'1.13топливозаправщик'!L57</f>
        <v>0333</v>
      </c>
      <c r="F118" s="635">
        <f>'1.13топливозаправщик'!N57</f>
        <v>2.0000000000000002E-5</v>
      </c>
      <c r="G118" s="636">
        <f>'1.13топливозаправщик'!O57</f>
        <v>7.9999999999999996E-6</v>
      </c>
      <c r="H118" s="649">
        <f>'1.13топливозаправщик'!N97</f>
        <v>2.0000000000000002E-5</v>
      </c>
      <c r="I118" s="650">
        <f>'1.13топливозаправщик'!O97</f>
        <v>1.5E-5</v>
      </c>
      <c r="J118" s="677">
        <f>'1.13топливозаправщик'!N143</f>
        <v>2.0000000000000002E-5</v>
      </c>
      <c r="K118" s="1062">
        <f>'1.13топливозаправщик'!O143</f>
        <v>6.9999999999999999E-6</v>
      </c>
      <c r="L118" s="635">
        <f>'1.13топливозаправщик'!N186</f>
        <v>2.0000000000000002E-5</v>
      </c>
      <c r="M118" s="636">
        <f>'1.13топливозаправщик'!O186</f>
        <v>4.9999999999999998E-7</v>
      </c>
    </row>
    <row r="119" spans="2:13" s="659" customFormat="1" ht="15" customHeight="1" x14ac:dyDescent="0.25">
      <c r="B119" s="1706" t="s">
        <v>910</v>
      </c>
      <c r="C119" s="670">
        <v>7030</v>
      </c>
      <c r="D119" s="652" t="str">
        <f>'1.2погрузка экскаватором'!M86</f>
        <v>Пыль неорг.с сод-м SiO2 70-20%</v>
      </c>
      <c r="E119" s="653">
        <f>'1.2погрузка экскаватором'!N86</f>
        <v>2908</v>
      </c>
      <c r="F119" s="646"/>
      <c r="G119" s="641"/>
      <c r="H119" s="646">
        <f>'1.2погрузка экскаватором'!O86+'1.3земляные работы'!Q161</f>
        <v>0.2165</v>
      </c>
      <c r="I119" s="641">
        <f>'1.2погрузка экскаватором'!P86+'1.3земляные работы'!R161</f>
        <v>7.5600000000000001E-2</v>
      </c>
      <c r="J119" s="654">
        <f>'1.3земляные работы'!Q253</f>
        <v>1.46E-2</v>
      </c>
      <c r="K119" s="1061">
        <f>'1.3земляные работы'!R253</f>
        <v>4.9600000000000005E-2</v>
      </c>
      <c r="L119" s="646"/>
      <c r="M119" s="641"/>
    </row>
    <row r="120" spans="2:13" s="105" customFormat="1" ht="15" customHeight="1" x14ac:dyDescent="0.25">
      <c r="B120" s="1707"/>
      <c r="C120" s="670">
        <v>7032</v>
      </c>
      <c r="D120" s="652" t="str">
        <f>'1.4 транспортирование'!R86</f>
        <v>Пыль неорг. с сод-м SiO2 70-20%</v>
      </c>
      <c r="E120" s="653">
        <f>'1.4 транспортирование'!S86</f>
        <v>2908</v>
      </c>
      <c r="F120" s="646"/>
      <c r="G120" s="641"/>
      <c r="H120" s="646">
        <f>'1.4 транспортирование'!T117</f>
        <v>2.5999999999999999E-3</v>
      </c>
      <c r="I120" s="641">
        <f>'1.4 транспортирование'!U117</f>
        <v>6.9999999999999999E-4</v>
      </c>
      <c r="J120" s="654"/>
      <c r="K120" s="1061"/>
      <c r="L120" s="646"/>
      <c r="M120" s="641"/>
    </row>
    <row r="121" spans="2:13" s="70" customFormat="1" ht="15" customHeight="1" x14ac:dyDescent="0.25">
      <c r="B121" s="1707"/>
      <c r="C121" s="671">
        <v>7033</v>
      </c>
      <c r="D121" s="655" t="str">
        <f>'1.8 сварка'!G147</f>
        <v>Фтористые газ.соед</v>
      </c>
      <c r="E121" s="666" t="str">
        <f>'1.8 сварка'!H147</f>
        <v>0342</v>
      </c>
      <c r="F121" s="177"/>
      <c r="G121" s="171"/>
      <c r="H121" s="130">
        <f>'1.8 сварка'!J147</f>
        <v>1.0000000000000001E-5</v>
      </c>
      <c r="I121" s="129">
        <f>'1.8 сварка'!K147</f>
        <v>4.0000000000000003E-5</v>
      </c>
      <c r="J121" s="121">
        <f>'1.8 сварка'!J268</f>
        <v>1.2800000000000001E-3</v>
      </c>
      <c r="K121" s="1056">
        <f>'1.8 сварка'!K268</f>
        <v>7.9000000000000008E-3</v>
      </c>
      <c r="L121" s="130"/>
      <c r="M121" s="129"/>
    </row>
    <row r="122" spans="2:13" s="70" customFormat="1" ht="15" customHeight="1" x14ac:dyDescent="0.25">
      <c r="B122" s="1707"/>
      <c r="C122" s="668"/>
      <c r="D122" s="656" t="str">
        <f>'1.8 сварка'!G148</f>
        <v>Диоксид азота</v>
      </c>
      <c r="E122" s="667" t="str">
        <f>'1.8 сварка'!H148</f>
        <v>0301</v>
      </c>
      <c r="F122" s="178"/>
      <c r="G122" s="167"/>
      <c r="H122" s="164">
        <f>'1.8 сварка'!J148</f>
        <v>3.0000000000000001E-5</v>
      </c>
      <c r="I122" s="127">
        <f>'1.8 сварка'!K148</f>
        <v>1E-4</v>
      </c>
      <c r="J122" s="122">
        <f>'1.8 сварка'!J269</f>
        <v>2.5600000000000002E-3</v>
      </c>
      <c r="K122" s="1053">
        <f>'1.8 сварка'!K269</f>
        <v>1.5800000000000002E-2</v>
      </c>
      <c r="L122" s="164"/>
      <c r="M122" s="127"/>
    </row>
    <row r="123" spans="2:13" s="70" customFormat="1" ht="15" customHeight="1" x14ac:dyDescent="0.25">
      <c r="B123" s="1707"/>
      <c r="C123" s="668"/>
      <c r="D123" s="656" t="str">
        <f>'1.8 сварка'!G149</f>
        <v>Марганец и его соед.</v>
      </c>
      <c r="E123" s="667" t="str">
        <f>'1.8 сварка'!H149</f>
        <v>0143</v>
      </c>
      <c r="F123" s="178"/>
      <c r="G123" s="167"/>
      <c r="H123" s="164">
        <f>'1.8 сварка'!J149</f>
        <v>2.0000000000000002E-5</v>
      </c>
      <c r="I123" s="127">
        <f>'1.8 сварка'!K149</f>
        <v>5.0000000000000002E-5</v>
      </c>
      <c r="J123" s="122">
        <f>'1.8 сварка'!J270</f>
        <v>1.57E-3</v>
      </c>
      <c r="K123" s="1053">
        <f>'1.8 сварка'!K270</f>
        <v>9.7000000000000003E-3</v>
      </c>
      <c r="L123" s="164"/>
      <c r="M123" s="127"/>
    </row>
    <row r="124" spans="2:13" s="70" customFormat="1" ht="15" customHeight="1" x14ac:dyDescent="0.25">
      <c r="B124" s="1707"/>
      <c r="C124" s="668"/>
      <c r="D124" s="656" t="str">
        <f>'1.8 сварка'!G150</f>
        <v>Фториды</v>
      </c>
      <c r="E124" s="667" t="str">
        <f>'1.8 сварка'!H150</f>
        <v>0344</v>
      </c>
      <c r="F124" s="178"/>
      <c r="G124" s="167"/>
      <c r="H124" s="164">
        <f>'1.8 сварка'!J150</f>
        <v>1E-4</v>
      </c>
      <c r="I124" s="127">
        <f>'1.8 сварка'!K150</f>
        <v>2.0000000000000001E-4</v>
      </c>
      <c r="J124" s="122">
        <f>'1.8 сварка'!J271</f>
        <v>5.5999999999999999E-3</v>
      </c>
      <c r="K124" s="1053">
        <f>'1.8 сварка'!K271</f>
        <v>3.4799999999999998E-2</v>
      </c>
      <c r="L124" s="164"/>
      <c r="M124" s="127"/>
    </row>
    <row r="125" spans="2:13" s="70" customFormat="1" ht="15" customHeight="1" x14ac:dyDescent="0.25">
      <c r="B125" s="1707"/>
      <c r="C125" s="668"/>
      <c r="D125" s="656" t="str">
        <f>'1.8 сварка'!G151</f>
        <v>Железа оксид</v>
      </c>
      <c r="E125" s="667" t="str">
        <f>'1.8 сварка'!H151</f>
        <v>0123</v>
      </c>
      <c r="F125" s="178"/>
      <c r="G125" s="167"/>
      <c r="H125" s="164">
        <f>'1.8 сварка'!J151</f>
        <v>2.0000000000000001E-4</v>
      </c>
      <c r="I125" s="127">
        <f>'1.8 сварка'!K151</f>
        <v>5.9999999999999995E-4</v>
      </c>
      <c r="J125" s="122">
        <f>'1.8 сварка'!J272</f>
        <v>1.8200000000000001E-2</v>
      </c>
      <c r="K125" s="1053">
        <f>'1.8 сварка'!K272</f>
        <v>0.11269999999999999</v>
      </c>
      <c r="L125" s="164"/>
      <c r="M125" s="127"/>
    </row>
    <row r="126" spans="2:13" s="70" customFormat="1" ht="15" customHeight="1" x14ac:dyDescent="0.25">
      <c r="B126" s="1707"/>
      <c r="C126" s="668"/>
      <c r="D126" s="656" t="str">
        <f>'1.8 сварка'!G152</f>
        <v>Пыль неорг.с сод-м SiO2 70-20 %</v>
      </c>
      <c r="E126" s="667">
        <f>'1.8 сварка'!H152</f>
        <v>2908</v>
      </c>
      <c r="F126" s="178"/>
      <c r="G126" s="167"/>
      <c r="H126" s="164">
        <f>'1.8 сварка'!J152</f>
        <v>2.0000000000000002E-5</v>
      </c>
      <c r="I126" s="127">
        <f>'1.8 сварка'!K152</f>
        <v>1E-4</v>
      </c>
      <c r="J126" s="122">
        <f>'1.8 сварка'!J273</f>
        <v>2.3900000000000002E-3</v>
      </c>
      <c r="K126" s="1053">
        <f>'1.8 сварка'!K273</f>
        <v>1.4800000000000001E-2</v>
      </c>
      <c r="L126" s="164"/>
      <c r="M126" s="127"/>
    </row>
    <row r="127" spans="2:13" s="70" customFormat="1" ht="15" customHeight="1" x14ac:dyDescent="0.25">
      <c r="B127" s="1707"/>
      <c r="C127" s="668"/>
      <c r="D127" s="656" t="str">
        <f>'1.8 сварка'!G153</f>
        <v>Оксид углерода</v>
      </c>
      <c r="E127" s="667" t="str">
        <f>'1.8 сварка'!H153</f>
        <v>0337</v>
      </c>
      <c r="F127" s="178"/>
      <c r="G127" s="167"/>
      <c r="H127" s="164">
        <f>'1.8 сварка'!J153</f>
        <v>2.0000000000000001E-4</v>
      </c>
      <c r="I127" s="127">
        <f>'1.8 сварка'!K153</f>
        <v>6.9999999999999999E-4</v>
      </c>
      <c r="J127" s="122">
        <f>'1.8 сварка'!J274+'1.9сварка полиэтилена'!H82</f>
        <v>2.2700080000000001E-2</v>
      </c>
      <c r="K127" s="1053">
        <f>'1.8 сварка'!K274+'1.9сварка полиэтилена'!I82</f>
        <v>0.14020004999999999</v>
      </c>
      <c r="L127" s="164"/>
      <c r="M127" s="127"/>
    </row>
    <row r="128" spans="2:13" ht="15" customHeight="1" x14ac:dyDescent="0.25">
      <c r="B128" s="1707"/>
      <c r="C128" s="717"/>
      <c r="D128" s="664" t="str">
        <f>'1.9сварка полиэтилена'!F83</f>
        <v>Хлорэтилен /Винилхлорид/</v>
      </c>
      <c r="E128" s="169" t="str">
        <f>'1.9сварка полиэтилена'!G83</f>
        <v>0827</v>
      </c>
      <c r="F128" s="168"/>
      <c r="G128" s="169"/>
      <c r="H128" s="168"/>
      <c r="I128" s="169"/>
      <c r="J128" s="179">
        <f>'1.9сварка полиэтилена'!H83</f>
        <v>2.9999999999999997E-8</v>
      </c>
      <c r="K128" s="1060">
        <f>'1.9сварка полиэтилена'!I83</f>
        <v>2E-8</v>
      </c>
      <c r="L128" s="165"/>
      <c r="M128" s="128"/>
    </row>
    <row r="129" spans="2:13" s="131" customFormat="1" ht="15" customHeight="1" x14ac:dyDescent="0.25">
      <c r="B129" s="1707"/>
      <c r="C129" s="626">
        <v>7035</v>
      </c>
      <c r="D129" s="627" t="str">
        <f>'1.13топливозаправщик'!K99</f>
        <v>Углеводороды предельные С12-С19</v>
      </c>
      <c r="E129" s="630">
        <f>'1.13топливозаправщик'!L99</f>
        <v>2754</v>
      </c>
      <c r="F129" s="629"/>
      <c r="G129" s="630"/>
      <c r="H129" s="629">
        <f>'1.13топливозаправщик'!N99</f>
        <v>6.3E-3</v>
      </c>
      <c r="I129" s="630">
        <f>'1.13топливозаправщик'!O99</f>
        <v>1.0499999999999999E-3</v>
      </c>
      <c r="J129" s="631">
        <f>'1.13топливозаправщик'!N145</f>
        <v>6.3E-3</v>
      </c>
      <c r="K129" s="1058">
        <f>'1.13топливозаправщик'!O145</f>
        <v>8.4999999999999995E-4</v>
      </c>
      <c r="L129" s="629"/>
      <c r="M129" s="630"/>
    </row>
    <row r="130" spans="2:13" s="131" customFormat="1" ht="15" customHeight="1" x14ac:dyDescent="0.25">
      <c r="B130" s="1708"/>
      <c r="C130" s="632"/>
      <c r="D130" s="633" t="str">
        <f>'1.13топливозаправщик'!K100</f>
        <v>Сероводород</v>
      </c>
      <c r="E130" s="648" t="str">
        <f>'1.13топливозаправщик'!L100</f>
        <v>0333</v>
      </c>
      <c r="F130" s="635"/>
      <c r="G130" s="636"/>
      <c r="H130" s="649">
        <f>'1.13топливозаправщик'!N100</f>
        <v>2.0000000000000002E-5</v>
      </c>
      <c r="I130" s="650">
        <f>'1.13топливозаправщик'!O100</f>
        <v>3.0000000000000001E-6</v>
      </c>
      <c r="J130" s="677">
        <f>'1.13топливозаправщик'!N146</f>
        <v>2.0000000000000002E-5</v>
      </c>
      <c r="K130" s="1059">
        <f>'1.13топливозаправщик'!O146</f>
        <v>1.9999999999999999E-6</v>
      </c>
      <c r="L130" s="635"/>
      <c r="M130" s="636"/>
    </row>
    <row r="131" spans="2:13" s="105" customFormat="1" ht="15" customHeight="1" x14ac:dyDescent="0.25">
      <c r="B131" s="1706" t="s">
        <v>233</v>
      </c>
      <c r="C131" s="670">
        <v>7036</v>
      </c>
      <c r="D131" s="652" t="str">
        <f>'1.2погрузка экскаватором'!M90</f>
        <v>Пыль неорг.с сод-м SiO2 70-20%</v>
      </c>
      <c r="E131" s="653">
        <f>'1.2погрузка экскаватором'!N90</f>
        <v>2908</v>
      </c>
      <c r="F131" s="646"/>
      <c r="G131" s="641"/>
      <c r="H131" s="646">
        <f>'1.2погрузка экскаватором'!O90+'1.3земляные работы'!Q166</f>
        <v>0.2165</v>
      </c>
      <c r="I131" s="641">
        <f>'1.2погрузка экскаватором'!P90+'1.3земляные работы'!R166</f>
        <v>9.2799999999999994E-2</v>
      </c>
      <c r="J131" s="654">
        <f>'1.3земляные работы'!Q255</f>
        <v>2.0000000000000001E-4</v>
      </c>
      <c r="K131" s="1061">
        <f>'1.3земляные работы'!R255</f>
        <v>1E-4</v>
      </c>
      <c r="L131" s="646"/>
      <c r="M131" s="641"/>
    </row>
    <row r="132" spans="2:13" s="105" customFormat="1" ht="15" customHeight="1" x14ac:dyDescent="0.25">
      <c r="B132" s="1707"/>
      <c r="C132" s="670">
        <v>7037</v>
      </c>
      <c r="D132" s="652" t="str">
        <f>'1.4 транспортирование'!R121</f>
        <v>Пыль неорг. с сод-м SiO2 70-20%</v>
      </c>
      <c r="E132" s="653">
        <f>'1.4 транспортирование'!S121</f>
        <v>2908</v>
      </c>
      <c r="F132" s="646"/>
      <c r="G132" s="641"/>
      <c r="H132" s="646">
        <f>'1.4 транспортирование'!T121</f>
        <v>2.5999999999999999E-3</v>
      </c>
      <c r="I132" s="641">
        <f>'1.4 транспортирование'!U121</f>
        <v>5.9999999999999995E-4</v>
      </c>
      <c r="J132" s="654">
        <f>'1.4 транспортирование'!T186</f>
        <v>1.5E-3</v>
      </c>
      <c r="K132" s="1061">
        <f>'1.4 транспортирование'!U186</f>
        <v>2.0000000000000001E-4</v>
      </c>
      <c r="L132" s="646"/>
      <c r="M132" s="641"/>
    </row>
    <row r="133" spans="2:13" s="659" customFormat="1" ht="15" customHeight="1" x14ac:dyDescent="0.25">
      <c r="B133" s="1707"/>
      <c r="C133" s="668">
        <v>7038</v>
      </c>
      <c r="D133" s="644" t="str">
        <f>'1.5пересыпка материалов'!N87</f>
        <v>Пыль неорг.с сод-м SiO2 70-20%</v>
      </c>
      <c r="E133" s="645" t="str">
        <f>'1.5пересыпка материалов'!O87</f>
        <v>2908</v>
      </c>
      <c r="F133" s="168"/>
      <c r="G133" s="641"/>
      <c r="H133" s="166"/>
      <c r="I133" s="167"/>
      <c r="J133" s="654">
        <f>'1.5пересыпка материалов'!Q87</f>
        <v>0.37330000000000002</v>
      </c>
      <c r="K133" s="1061">
        <f>'1.5пересыпка материалов'!R87</f>
        <v>1.3298000000000001</v>
      </c>
      <c r="L133" s="166"/>
      <c r="M133" s="167"/>
    </row>
    <row r="134" spans="2:13" ht="15" customHeight="1" x14ac:dyDescent="0.25">
      <c r="B134" s="1707"/>
      <c r="C134" s="671">
        <v>7039</v>
      </c>
      <c r="D134" s="661" t="str">
        <f>'1.7покраска'!K366</f>
        <v>Уайт-спирит</v>
      </c>
      <c r="E134" s="171" t="str">
        <f>'1.7покраска'!L366</f>
        <v>2752</v>
      </c>
      <c r="F134" s="164"/>
      <c r="G134" s="129"/>
      <c r="H134" s="130"/>
      <c r="I134" s="129"/>
      <c r="J134" s="122">
        <f>'1.7покраска'!M366</f>
        <v>3.1300000000000001E-2</v>
      </c>
      <c r="K134" s="1056">
        <f>'1.7покраска'!N366</f>
        <v>2.1900000000000003E-2</v>
      </c>
      <c r="L134" s="130"/>
      <c r="M134" s="129"/>
    </row>
    <row r="135" spans="2:13" ht="15" customHeight="1" x14ac:dyDescent="0.25">
      <c r="B135" s="1707"/>
      <c r="C135" s="716"/>
      <c r="D135" s="663" t="str">
        <f>'1.7покраска'!K367</f>
        <v>Ксилол</v>
      </c>
      <c r="E135" s="167" t="str">
        <f>'1.7покраска'!L367</f>
        <v>0616</v>
      </c>
      <c r="F135" s="164"/>
      <c r="G135" s="127"/>
      <c r="H135" s="164"/>
      <c r="I135" s="127"/>
      <c r="J135" s="122">
        <f>'1.7покраска'!M367</f>
        <v>7.7799999999999994E-2</v>
      </c>
      <c r="K135" s="1053">
        <f>'1.7покраска'!N367</f>
        <v>4.3845000000000002E-2</v>
      </c>
      <c r="L135" s="164"/>
      <c r="M135" s="127"/>
    </row>
    <row r="136" spans="2:13" ht="15" customHeight="1" x14ac:dyDescent="0.25">
      <c r="B136" s="1707"/>
      <c r="C136" s="716"/>
      <c r="D136" s="663" t="str">
        <f>'1.7покраска'!K368</f>
        <v>Сольвент</v>
      </c>
      <c r="E136" s="167" t="str">
        <f>'1.7покраска'!L368</f>
        <v>2750</v>
      </c>
      <c r="F136" s="164"/>
      <c r="G136" s="127"/>
      <c r="H136" s="164"/>
      <c r="I136" s="127"/>
      <c r="J136" s="122">
        <f>'1.7покраска'!M368</f>
        <v>2.2800000000000001E-2</v>
      </c>
      <c r="K136" s="1053">
        <f>'1.7покраска'!N368</f>
        <v>7.7000000000000002E-3</v>
      </c>
      <c r="L136" s="164"/>
      <c r="M136" s="127"/>
    </row>
    <row r="137" spans="2:13" ht="15" customHeight="1" x14ac:dyDescent="0.25">
      <c r="B137" s="1707"/>
      <c r="C137" s="716"/>
      <c r="D137" s="663" t="str">
        <f>'1.7покраска'!K369</f>
        <v>Ацетон</v>
      </c>
      <c r="E137" s="167" t="str">
        <f>'1.7покраска'!L369</f>
        <v>1401</v>
      </c>
      <c r="F137" s="164"/>
      <c r="G137" s="127"/>
      <c r="H137" s="164"/>
      <c r="I137" s="127"/>
      <c r="J137" s="122">
        <f>'1.7покраска'!M369</f>
        <v>3.2000000000000002E-3</v>
      </c>
      <c r="K137" s="1053">
        <f>'1.7покраска'!N369</f>
        <v>1.1E-5</v>
      </c>
      <c r="L137" s="164"/>
      <c r="M137" s="127"/>
    </row>
    <row r="138" spans="2:13" ht="15" customHeight="1" x14ac:dyDescent="0.25">
      <c r="B138" s="1707"/>
      <c r="C138" s="716"/>
      <c r="D138" s="663" t="str">
        <f>'1.7покраска'!K370</f>
        <v>Бутилацетат</v>
      </c>
      <c r="E138" s="167" t="str">
        <f>'1.7покраска'!L370</f>
        <v>1210</v>
      </c>
      <c r="F138" s="164"/>
      <c r="G138" s="127"/>
      <c r="H138" s="164"/>
      <c r="I138" s="127"/>
      <c r="J138" s="122">
        <f>'1.7покраска'!M370</f>
        <v>1.9400000000000001E-2</v>
      </c>
      <c r="K138" s="1053">
        <f>'1.7покраска'!N370</f>
        <v>5.5999999999999999E-3</v>
      </c>
      <c r="L138" s="164"/>
      <c r="M138" s="127"/>
    </row>
    <row r="139" spans="2:13" ht="15" customHeight="1" x14ac:dyDescent="0.25">
      <c r="B139" s="1707"/>
      <c r="C139" s="716"/>
      <c r="D139" s="663" t="str">
        <f>'1.7покраска'!K371</f>
        <v>Углеводороды предельные С12-С19</v>
      </c>
      <c r="E139" s="167" t="str">
        <f>'1.7покраска'!L371</f>
        <v>2754</v>
      </c>
      <c r="F139" s="164"/>
      <c r="G139" s="127"/>
      <c r="H139" s="164"/>
      <c r="I139" s="127"/>
      <c r="J139" s="122">
        <f>'1.7покраска'!M371</f>
        <v>8.3299999999999999E-2</v>
      </c>
      <c r="K139" s="1053">
        <f>'1.7покраска'!N371</f>
        <v>0.11230000000000001</v>
      </c>
      <c r="L139" s="164"/>
      <c r="M139" s="127"/>
    </row>
    <row r="140" spans="2:13" ht="15" customHeight="1" x14ac:dyDescent="0.25">
      <c r="B140" s="1707"/>
      <c r="C140" s="716"/>
      <c r="D140" s="664" t="str">
        <f>'1.7покраска'!K372</f>
        <v>Этилцеллозольв</v>
      </c>
      <c r="E140" s="169" t="str">
        <f>'1.7покраска'!L372</f>
        <v>1119</v>
      </c>
      <c r="F140" s="164"/>
      <c r="G140" s="127"/>
      <c r="H140" s="164"/>
      <c r="I140" s="127"/>
      <c r="J140" s="122">
        <f>'1.7покраска'!M372</f>
        <v>3.2000000000000002E-3</v>
      </c>
      <c r="K140" s="1057">
        <f>'1.7покраска'!N372</f>
        <v>1.0000000000000001E-5</v>
      </c>
      <c r="L140" s="164"/>
      <c r="M140" s="127"/>
    </row>
    <row r="141" spans="2:13" s="70" customFormat="1" ht="15" customHeight="1" x14ac:dyDescent="0.25">
      <c r="B141" s="1707"/>
      <c r="C141" s="671">
        <v>7040</v>
      </c>
      <c r="D141" s="655" t="str">
        <f>'1.8 сварка'!G155</f>
        <v>Фтористые газ.соед</v>
      </c>
      <c r="E141" s="671" t="str">
        <f>'1.8 сварка'!H155</f>
        <v>0342</v>
      </c>
      <c r="F141" s="177"/>
      <c r="G141" s="171"/>
      <c r="H141" s="130">
        <f>'1.8 сварка'!J155</f>
        <v>2.3999999999999998E-3</v>
      </c>
      <c r="I141" s="129">
        <f>'1.8 сварка'!K155</f>
        <v>4.9300000000000004E-3</v>
      </c>
      <c r="J141" s="121">
        <f>'1.8 сварка'!J276</f>
        <v>2.9199999999999999E-3</v>
      </c>
      <c r="K141" s="1056">
        <f>'1.8 сварка'!K276</f>
        <v>1.201E-2</v>
      </c>
      <c r="L141" s="130"/>
      <c r="M141" s="129"/>
    </row>
    <row r="142" spans="2:13" s="70" customFormat="1" ht="15" customHeight="1" x14ac:dyDescent="0.25">
      <c r="B142" s="1707"/>
      <c r="C142" s="668"/>
      <c r="D142" s="656" t="str">
        <f>'1.8 сварка'!G156</f>
        <v>Диоксид азота</v>
      </c>
      <c r="E142" s="167" t="str">
        <f>'1.8 сварка'!H156</f>
        <v>0301</v>
      </c>
      <c r="F142" s="178"/>
      <c r="G142" s="167"/>
      <c r="H142" s="164">
        <f>'1.8 сварка'!J156</f>
        <v>4.79E-3</v>
      </c>
      <c r="I142" s="127">
        <f>'1.8 сварка'!K156</f>
        <v>9.9000000000000008E-3</v>
      </c>
      <c r="J142" s="122">
        <f>'1.8 сварка'!J277</f>
        <v>5.8300000000000001E-3</v>
      </c>
      <c r="K142" s="1053">
        <f>'1.8 сварка'!K277</f>
        <v>2.4E-2</v>
      </c>
      <c r="L142" s="164"/>
      <c r="M142" s="127"/>
    </row>
    <row r="143" spans="2:13" s="70" customFormat="1" ht="15" customHeight="1" x14ac:dyDescent="0.25">
      <c r="B143" s="1707"/>
      <c r="C143" s="668"/>
      <c r="D143" s="656" t="str">
        <f>'1.8 сварка'!G157</f>
        <v>Марганец и его соед.</v>
      </c>
      <c r="E143" s="167" t="str">
        <f>'1.8 сварка'!H157</f>
        <v>0143</v>
      </c>
      <c r="F143" s="178"/>
      <c r="G143" s="167"/>
      <c r="H143" s="164">
        <f>'1.8 сварка'!J157</f>
        <v>2.9399999999999999E-3</v>
      </c>
      <c r="I143" s="127">
        <f>'1.8 сварка'!K157</f>
        <v>6.0499999999999998E-3</v>
      </c>
      <c r="J143" s="122">
        <f>'1.8 сварка'!J278</f>
        <v>3.5799999999999998E-3</v>
      </c>
      <c r="K143" s="1053">
        <f>'1.8 сварка'!K278</f>
        <v>1.473E-2</v>
      </c>
      <c r="L143" s="164"/>
      <c r="M143" s="127"/>
    </row>
    <row r="144" spans="2:13" s="70" customFormat="1" ht="15" customHeight="1" x14ac:dyDescent="0.25">
      <c r="B144" s="1707"/>
      <c r="C144" s="668"/>
      <c r="D144" s="656" t="str">
        <f>'1.8 сварка'!G158</f>
        <v>Фториды</v>
      </c>
      <c r="E144" s="167" t="str">
        <f>'1.8 сварка'!H158</f>
        <v>0344</v>
      </c>
      <c r="F144" s="178"/>
      <c r="G144" s="167"/>
      <c r="H144" s="164">
        <f>'1.8 сварка'!J158</f>
        <v>1.0500000000000001E-2</v>
      </c>
      <c r="I144" s="127">
        <f>'1.8 сварка'!K158</f>
        <v>2.1700000000000001E-2</v>
      </c>
      <c r="J144" s="122">
        <f>'1.8 сварка'!J279</f>
        <v>1.2800000000000001E-2</v>
      </c>
      <c r="K144" s="1053">
        <f>'1.8 сварка'!K279</f>
        <v>5.28E-2</v>
      </c>
      <c r="L144" s="164"/>
      <c r="M144" s="127"/>
    </row>
    <row r="145" spans="2:13" s="70" customFormat="1" ht="15" customHeight="1" x14ac:dyDescent="0.25">
      <c r="B145" s="1707"/>
      <c r="C145" s="668"/>
      <c r="D145" s="656" t="str">
        <f>'1.8 сварка'!G159</f>
        <v>Железа оксид</v>
      </c>
      <c r="E145" s="167" t="str">
        <f>'1.8 сварка'!H159</f>
        <v>0123</v>
      </c>
      <c r="F145" s="178"/>
      <c r="G145" s="167"/>
      <c r="H145" s="164">
        <f>'1.8 сварка'!J159</f>
        <v>3.4099999999999998E-2</v>
      </c>
      <c r="I145" s="127">
        <f>'1.8 сварка'!K159</f>
        <v>7.0300000000000001E-2</v>
      </c>
      <c r="J145" s="122">
        <f>'1.8 сварка'!J280</f>
        <v>4.1599999999999998E-2</v>
      </c>
      <c r="K145" s="1053">
        <f>'1.8 сварка'!K280</f>
        <v>0.17119999999999999</v>
      </c>
      <c r="L145" s="164"/>
      <c r="M145" s="127"/>
    </row>
    <row r="146" spans="2:13" s="70" customFormat="1" ht="15" customHeight="1" x14ac:dyDescent="0.25">
      <c r="B146" s="1707"/>
      <c r="C146" s="668"/>
      <c r="D146" s="656" t="str">
        <f>'1.8 сварка'!G160</f>
        <v>Пыль неорг.с сод-м SiO2 70-20 %</v>
      </c>
      <c r="E146" s="167">
        <f>'1.8 сварка'!H160</f>
        <v>2908</v>
      </c>
      <c r="F146" s="178"/>
      <c r="G146" s="167"/>
      <c r="H146" s="164">
        <f>'1.8 сварка'!J160</f>
        <v>4.47E-3</v>
      </c>
      <c r="I146" s="127">
        <f>'1.8 сварка'!K160</f>
        <v>9.1999999999999998E-3</v>
      </c>
      <c r="J146" s="122">
        <f>'1.8 сварка'!J281</f>
        <v>5.4400000000000004E-3</v>
      </c>
      <c r="K146" s="1053">
        <f>'1.8 сварка'!K281</f>
        <v>2.24E-2</v>
      </c>
      <c r="L146" s="164"/>
      <c r="M146" s="127"/>
    </row>
    <row r="147" spans="2:13" s="70" customFormat="1" ht="15" customHeight="1" x14ac:dyDescent="0.25">
      <c r="B147" s="1707"/>
      <c r="C147" s="668"/>
      <c r="D147" s="656" t="str">
        <f>'1.8 сварка'!G161</f>
        <v>Оксид углерода</v>
      </c>
      <c r="E147" s="167" t="str">
        <f>'1.8 сварка'!H161</f>
        <v>0337</v>
      </c>
      <c r="F147" s="178"/>
      <c r="G147" s="167"/>
      <c r="H147" s="164">
        <f>'1.8 сварка'!J161</f>
        <v>4.2500000000000003E-2</v>
      </c>
      <c r="I147" s="127">
        <f>'1.8 сварка'!K161</f>
        <v>8.7499999999999994E-2</v>
      </c>
      <c r="J147" s="122">
        <f>'1.8 сварка'!J282+'1.9сварка полиэтилена'!H85</f>
        <v>5.1700610000000001E-2</v>
      </c>
      <c r="K147" s="1053">
        <f>'1.8 сварка'!K282+'1.9сварка полиэтилена'!I85</f>
        <v>0.21300237</v>
      </c>
      <c r="L147" s="164"/>
      <c r="M147" s="127"/>
    </row>
    <row r="148" spans="2:13" s="70" customFormat="1" ht="15" customHeight="1" x14ac:dyDescent="0.25">
      <c r="B148" s="1707"/>
      <c r="C148" s="660"/>
      <c r="D148" s="657" t="str">
        <f>'1.9сварка полиэтилена'!F86</f>
        <v>Хлорэтилен /Винилхлорид/</v>
      </c>
      <c r="E148" s="660" t="str">
        <f>'1.9сварка полиэтилена'!G86</f>
        <v>0827</v>
      </c>
      <c r="F148" s="165"/>
      <c r="G148" s="128"/>
      <c r="H148" s="165"/>
      <c r="I148" s="128"/>
      <c r="J148" s="123">
        <f>'1.9сварка полиэтилена'!H86</f>
        <v>2.6E-7</v>
      </c>
      <c r="K148" s="1057">
        <f>'1.9сварка полиэтилена'!I86</f>
        <v>1.0300000000000001E-6</v>
      </c>
      <c r="L148" s="165"/>
      <c r="M148" s="128"/>
    </row>
    <row r="149" spans="2:13" s="131" customFormat="1" ht="15" customHeight="1" x14ac:dyDescent="0.25">
      <c r="B149" s="1707"/>
      <c r="C149" s="626">
        <v>7042</v>
      </c>
      <c r="D149" s="627" t="str">
        <f>'1.13топливозаправщик'!K102</f>
        <v>Углеводороды предельные С12-С19</v>
      </c>
      <c r="E149" s="630">
        <f>'1.13топливозаправщик'!L102</f>
        <v>2754</v>
      </c>
      <c r="F149" s="629"/>
      <c r="G149" s="630"/>
      <c r="H149" s="629">
        <f>'1.13топливозаправщик'!N102</f>
        <v>6.3E-3</v>
      </c>
      <c r="I149" s="630">
        <f>'1.13топливозаправщик'!O102</f>
        <v>1.09E-3</v>
      </c>
      <c r="J149" s="631">
        <f>'1.13топливозаправщик'!N148</f>
        <v>6.3E-3</v>
      </c>
      <c r="K149" s="1058">
        <f>'1.13топливозаправщик'!O148</f>
        <v>9.8999999999999999E-4</v>
      </c>
      <c r="L149" s="629"/>
      <c r="M149" s="630"/>
    </row>
    <row r="150" spans="2:13" s="131" customFormat="1" ht="15" customHeight="1" x14ac:dyDescent="0.25">
      <c r="B150" s="1708"/>
      <c r="C150" s="632"/>
      <c r="D150" s="639" t="str">
        <f>'1.13топливозаправщик'!K103</f>
        <v>Сероводород</v>
      </c>
      <c r="E150" s="636" t="str">
        <f>'1.13топливозаправщик'!L103</f>
        <v>0333</v>
      </c>
      <c r="F150" s="635"/>
      <c r="G150" s="636"/>
      <c r="H150" s="649">
        <f>'1.13топливозаправщик'!N103</f>
        <v>2.0000000000000002E-5</v>
      </c>
      <c r="I150" s="650">
        <f>'1.13топливозаправщик'!O103</f>
        <v>3.0000000000000001E-6</v>
      </c>
      <c r="J150" s="637">
        <f>'1.13топливозаправщик'!N149</f>
        <v>2.0000000000000002E-5</v>
      </c>
      <c r="K150" s="1059">
        <f>'1.13топливозаправщик'!O149</f>
        <v>3.0000000000000001E-6</v>
      </c>
      <c r="L150" s="635"/>
      <c r="M150" s="636"/>
    </row>
    <row r="151" spans="2:13" s="105" customFormat="1" ht="15" customHeight="1" x14ac:dyDescent="0.25">
      <c r="B151" s="1706" t="s">
        <v>241</v>
      </c>
      <c r="C151" s="670">
        <v>7043</v>
      </c>
      <c r="D151" s="652" t="str">
        <f>'1.3земляные работы'!N261</f>
        <v>Пыль неорг.с сод-м SiO2 70-20%</v>
      </c>
      <c r="E151" s="653" t="str">
        <f>'1.3земляные работы'!O261</f>
        <v>2908</v>
      </c>
      <c r="F151" s="646"/>
      <c r="G151" s="641"/>
      <c r="H151" s="646"/>
      <c r="I151" s="641"/>
      <c r="J151" s="654">
        <f>'1.3земляные работы'!Q261</f>
        <v>7.3000000000000001E-3</v>
      </c>
      <c r="K151" s="1061">
        <f>'1.3земляные работы'!R261</f>
        <v>2.7499999999999998E-3</v>
      </c>
      <c r="L151" s="646"/>
      <c r="M151" s="641"/>
    </row>
    <row r="152" spans="2:13" s="105" customFormat="1" ht="15" customHeight="1" x14ac:dyDescent="0.25">
      <c r="B152" s="1707"/>
      <c r="C152" s="670">
        <v>7044</v>
      </c>
      <c r="D152" s="652" t="str">
        <f>'1.4 транспортирование'!R190</f>
        <v>Пыль неорг. с сод-м SiO2 70-20%</v>
      </c>
      <c r="E152" s="653">
        <f>'1.4 транспортирование'!S190</f>
        <v>2908</v>
      </c>
      <c r="F152" s="646"/>
      <c r="G152" s="641"/>
      <c r="H152" s="646"/>
      <c r="I152" s="641"/>
      <c r="J152" s="654">
        <f>'1.4 транспортирование'!T190</f>
        <v>1.5E-3</v>
      </c>
      <c r="K152" s="1061">
        <f>'1.4 транспортирование'!U190</f>
        <v>1.5E-3</v>
      </c>
      <c r="L152" s="646"/>
      <c r="M152" s="641"/>
    </row>
    <row r="153" spans="2:13" s="70" customFormat="1" ht="15" customHeight="1" x14ac:dyDescent="0.25">
      <c r="B153" s="1707"/>
      <c r="C153" s="671">
        <v>7045</v>
      </c>
      <c r="D153" s="655" t="str">
        <f>'1.8 сварка'!G284</f>
        <v>Фтористые газ.соед</v>
      </c>
      <c r="E153" s="666" t="str">
        <f>'1.8 сварка'!H284</f>
        <v>0342</v>
      </c>
      <c r="F153" s="177"/>
      <c r="G153" s="171"/>
      <c r="H153" s="130"/>
      <c r="I153" s="129"/>
      <c r="J153" s="121">
        <f>'1.8 сварка'!J284</f>
        <v>1.33E-3</v>
      </c>
      <c r="K153" s="1056">
        <f>'1.8 сварка'!K284</f>
        <v>4.0999999999999999E-4</v>
      </c>
      <c r="L153" s="130"/>
      <c r="M153" s="129"/>
    </row>
    <row r="154" spans="2:13" s="70" customFormat="1" ht="15" customHeight="1" x14ac:dyDescent="0.25">
      <c r="B154" s="1707"/>
      <c r="C154" s="668"/>
      <c r="D154" s="656" t="str">
        <f>'1.8 сварка'!G285</f>
        <v>Диоксид азота</v>
      </c>
      <c r="E154" s="667" t="str">
        <f>'1.8 сварка'!H285</f>
        <v>0301</v>
      </c>
      <c r="F154" s="178"/>
      <c r="G154" s="167"/>
      <c r="H154" s="164"/>
      <c r="I154" s="127"/>
      <c r="J154" s="122">
        <f>'1.8 сварка'!J285</f>
        <v>2.6700000000000001E-3</v>
      </c>
      <c r="K154" s="1053">
        <f>'1.8 сварка'!K285</f>
        <v>8.0000000000000004E-4</v>
      </c>
      <c r="L154" s="164"/>
      <c r="M154" s="127"/>
    </row>
    <row r="155" spans="2:13" s="70" customFormat="1" ht="15" customHeight="1" x14ac:dyDescent="0.25">
      <c r="B155" s="1707"/>
      <c r="C155" s="668"/>
      <c r="D155" s="656" t="str">
        <f>'1.8 сварка'!G286</f>
        <v>Марганец и его соед.</v>
      </c>
      <c r="E155" s="667" t="str">
        <f>'1.8 сварка'!H286</f>
        <v>0143</v>
      </c>
      <c r="F155" s="178"/>
      <c r="G155" s="167"/>
      <c r="H155" s="164"/>
      <c r="I155" s="127"/>
      <c r="J155" s="122">
        <f>'1.8 сварка'!J286</f>
        <v>1.64E-3</v>
      </c>
      <c r="K155" s="1053">
        <f>'1.8 сварка'!K286</f>
        <v>5.0000000000000001E-4</v>
      </c>
      <c r="L155" s="164"/>
      <c r="M155" s="127"/>
    </row>
    <row r="156" spans="2:13" s="70" customFormat="1" ht="15" customHeight="1" x14ac:dyDescent="0.25">
      <c r="B156" s="1707"/>
      <c r="C156" s="668"/>
      <c r="D156" s="656" t="str">
        <f>'1.8 сварка'!G287</f>
        <v>Фториды</v>
      </c>
      <c r="E156" s="667" t="str">
        <f>'1.8 сварка'!H287</f>
        <v>0344</v>
      </c>
      <c r="F156" s="178"/>
      <c r="G156" s="167"/>
      <c r="H156" s="164"/>
      <c r="I156" s="127"/>
      <c r="J156" s="122">
        <f>'1.8 сварка'!J287</f>
        <v>5.8999999999999999E-3</v>
      </c>
      <c r="K156" s="1053">
        <f>'1.8 сварка'!K287</f>
        <v>1.8E-3</v>
      </c>
      <c r="L156" s="164"/>
      <c r="M156" s="127"/>
    </row>
    <row r="157" spans="2:13" s="70" customFormat="1" ht="15" customHeight="1" x14ac:dyDescent="0.25">
      <c r="B157" s="1707"/>
      <c r="C157" s="668"/>
      <c r="D157" s="656" t="str">
        <f>'1.8 сварка'!G288</f>
        <v>Железа оксид</v>
      </c>
      <c r="E157" s="667" t="str">
        <f>'1.8 сварка'!H288</f>
        <v>0123</v>
      </c>
      <c r="F157" s="178"/>
      <c r="G157" s="167"/>
      <c r="H157" s="164"/>
      <c r="I157" s="127"/>
      <c r="J157" s="122">
        <f>'1.8 сварка'!J288</f>
        <v>1.9E-2</v>
      </c>
      <c r="K157" s="1053">
        <f>'1.8 сварка'!K288</f>
        <v>5.8999999999999999E-3</v>
      </c>
      <c r="L157" s="164"/>
      <c r="M157" s="127"/>
    </row>
    <row r="158" spans="2:13" s="70" customFormat="1" ht="15" customHeight="1" x14ac:dyDescent="0.25">
      <c r="B158" s="1707"/>
      <c r="C158" s="668"/>
      <c r="D158" s="656" t="str">
        <f>'1.8 сварка'!G289</f>
        <v>Пыль неорг.с сод-м SiO2 70-20 %</v>
      </c>
      <c r="E158" s="667">
        <f>'1.8 сварка'!H289</f>
        <v>2908</v>
      </c>
      <c r="F158" s="178"/>
      <c r="G158" s="167"/>
      <c r="H158" s="164"/>
      <c r="I158" s="127"/>
      <c r="J158" s="122">
        <f>'1.8 сварка'!J289</f>
        <v>2.49E-3</v>
      </c>
      <c r="K158" s="1053">
        <f>'1.8 сварка'!K289</f>
        <v>8.0000000000000004E-4</v>
      </c>
      <c r="L158" s="164"/>
      <c r="M158" s="127"/>
    </row>
    <row r="159" spans="2:13" s="70" customFormat="1" ht="15" customHeight="1" x14ac:dyDescent="0.25">
      <c r="B159" s="1707"/>
      <c r="C159" s="668"/>
      <c r="D159" s="656" t="str">
        <f>'1.8 сварка'!G290</f>
        <v>Оксид углерода</v>
      </c>
      <c r="E159" s="667" t="str">
        <f>'1.8 сварка'!H290</f>
        <v>0337</v>
      </c>
      <c r="F159" s="178"/>
      <c r="G159" s="167"/>
      <c r="H159" s="164"/>
      <c r="I159" s="127"/>
      <c r="J159" s="122">
        <f>'1.8 сварка'!J290+'1.9сварка полиэтилена'!H88</f>
        <v>2.3600969999999999E-2</v>
      </c>
      <c r="K159" s="1053">
        <f>'1.8 сварка'!K290+'1.9сварка полиэтилена'!I88</f>
        <v>7.3006299999999998E-3</v>
      </c>
      <c r="L159" s="164"/>
      <c r="M159" s="127"/>
    </row>
    <row r="160" spans="2:13" ht="15" customHeight="1" x14ac:dyDescent="0.25">
      <c r="B160" s="1707"/>
      <c r="C160" s="717"/>
      <c r="D160" s="656" t="str">
        <f>'1.9сварка полиэтилена'!F89</f>
        <v>Хлорэтилен /Винилхлорид/</v>
      </c>
      <c r="E160" s="669" t="str">
        <f>'1.9сварка полиэтилена'!G89</f>
        <v>0827</v>
      </c>
      <c r="F160" s="165"/>
      <c r="G160" s="128"/>
      <c r="H160" s="165"/>
      <c r="I160" s="128"/>
      <c r="J160" s="123">
        <f>'1.9сварка полиэтилена'!H89</f>
        <v>4.2E-7</v>
      </c>
      <c r="K160" s="1057">
        <f>'1.9сварка полиэтилена'!I89</f>
        <v>2.7000000000000001E-7</v>
      </c>
      <c r="L160" s="165"/>
      <c r="M160" s="128"/>
    </row>
    <row r="161" spans="2:13" s="136" customFormat="1" ht="15" customHeight="1" x14ac:dyDescent="0.25">
      <c r="B161" s="1707"/>
      <c r="C161" s="626">
        <v>7046</v>
      </c>
      <c r="D161" s="672" t="str">
        <f>'1.13топливозаправщик'!K151</f>
        <v>Углеводороды предельные С12-С19</v>
      </c>
      <c r="E161" s="626">
        <f>'1.13топливозаправщик'!L151</f>
        <v>2754</v>
      </c>
      <c r="F161" s="629"/>
      <c r="G161" s="630"/>
      <c r="H161" s="629"/>
      <c r="I161" s="630"/>
      <c r="J161" s="631">
        <f>'1.13топливозаправщик'!N151</f>
        <v>6.3E-3</v>
      </c>
      <c r="K161" s="1058">
        <f>'1.13топливозаправщик'!O151</f>
        <v>2.7999999999999998E-4</v>
      </c>
      <c r="L161" s="629"/>
      <c r="M161" s="630"/>
    </row>
    <row r="162" spans="2:13" s="136" customFormat="1" ht="15" customHeight="1" x14ac:dyDescent="0.25">
      <c r="B162" s="1708"/>
      <c r="C162" s="632"/>
      <c r="D162" s="673" t="str">
        <f>'1.13топливозаправщик'!K152</f>
        <v>Сероводород</v>
      </c>
      <c r="E162" s="648" t="str">
        <f>'1.13топливозаправщик'!L152</f>
        <v>0333</v>
      </c>
      <c r="F162" s="635"/>
      <c r="G162" s="636"/>
      <c r="H162" s="649"/>
      <c r="I162" s="650"/>
      <c r="J162" s="677">
        <f>'1.13топливозаправщик'!N152</f>
        <v>2.0000000000000002E-5</v>
      </c>
      <c r="K162" s="1059">
        <f>'1.13топливозаправщик'!O152</f>
        <v>9.9999999999999995E-7</v>
      </c>
      <c r="L162" s="635"/>
      <c r="M162" s="636"/>
    </row>
    <row r="163" spans="2:13" s="105" customFormat="1" ht="15" customHeight="1" x14ac:dyDescent="0.25">
      <c r="B163" s="1706" t="s">
        <v>244</v>
      </c>
      <c r="C163" s="670">
        <v>7047</v>
      </c>
      <c r="D163" s="652" t="str">
        <f>'1.1 снятие ТГ бульдозер'!M42</f>
        <v>Пыль неорг.с сод-м SiO2 70-20%</v>
      </c>
      <c r="E163" s="653">
        <f>'1.1 снятие ТГ бульдозер'!N42</f>
        <v>2908</v>
      </c>
      <c r="F163" s="646">
        <f>'1.1 снятие ТГ бульдозер'!O42+'1.2погрузка экскаватором'!O49+'1.3земляные работы'!Q66</f>
        <v>0.32600000000000001</v>
      </c>
      <c r="G163" s="641">
        <f>'1.1 снятие ТГ бульдозер'!P42+'1.2погрузка экскаватором'!P49+'1.3земляные работы'!R66</f>
        <v>0.3498</v>
      </c>
      <c r="H163" s="646">
        <f>'1.3земляные работы'!Q171</f>
        <v>1.46E-2</v>
      </c>
      <c r="I163" s="641">
        <f>'1.3земляные работы'!R171</f>
        <v>2.9300000000000003E-2</v>
      </c>
      <c r="J163" s="654"/>
      <c r="K163" s="1061"/>
      <c r="L163" s="646"/>
      <c r="M163" s="641"/>
    </row>
    <row r="164" spans="2:13" s="105" customFormat="1" ht="15" customHeight="1" x14ac:dyDescent="0.25">
      <c r="B164" s="1707"/>
      <c r="C164" s="670">
        <v>7048</v>
      </c>
      <c r="D164" s="652" t="str">
        <f>'1.4 транспортирование'!R63</f>
        <v>Пыль неорг. с сод-м SiO2 70-20%</v>
      </c>
      <c r="E164" s="653">
        <f>'1.4 транспортирование'!S63</f>
        <v>2908</v>
      </c>
      <c r="F164" s="646">
        <f>'1.4 транспортирование'!T63</f>
        <v>3.7999999999999996E-3</v>
      </c>
      <c r="G164" s="641">
        <f>'1.4 транспортирование'!U63</f>
        <v>1.9E-3</v>
      </c>
      <c r="H164" s="646">
        <f>'1.4 транспортирование'!T127</f>
        <v>1.5E-3</v>
      </c>
      <c r="I164" s="641">
        <f>'1.4 транспортирование'!U127</f>
        <v>1.32E-3</v>
      </c>
      <c r="J164" s="654"/>
      <c r="K164" s="1061"/>
      <c r="L164" s="646"/>
      <c r="M164" s="641"/>
    </row>
    <row r="165" spans="2:13" s="659" customFormat="1" ht="15" customHeight="1" x14ac:dyDescent="0.25">
      <c r="B165" s="1707"/>
      <c r="C165" s="668">
        <v>7049</v>
      </c>
      <c r="D165" s="644" t="str">
        <f>'1.5пересыпка материалов'!N53</f>
        <v>Пыль неорг.с сод-м SiO2 70-20%</v>
      </c>
      <c r="E165" s="645" t="str">
        <f>'1.5пересыпка материалов'!O53</f>
        <v>2908</v>
      </c>
      <c r="F165" s="168"/>
      <c r="G165" s="641"/>
      <c r="H165" s="166">
        <f>'1.5пересыпка материалов'!Q53</f>
        <v>0.23330000000000001</v>
      </c>
      <c r="I165" s="167">
        <f>'1.5пересыпка материалов'!R53</f>
        <v>3.3520000000000001E-2</v>
      </c>
      <c r="J165" s="654"/>
      <c r="K165" s="1061"/>
      <c r="L165" s="166"/>
      <c r="M165" s="167"/>
    </row>
    <row r="166" spans="2:13" ht="15" customHeight="1" x14ac:dyDescent="0.25">
      <c r="B166" s="1707"/>
      <c r="C166" s="671">
        <v>7050</v>
      </c>
      <c r="D166" s="661" t="str">
        <f>'1.7покраска'!K152</f>
        <v>Уайт-спирит</v>
      </c>
      <c r="E166" s="171" t="str">
        <f>'1.7покраска'!L152</f>
        <v>2752</v>
      </c>
      <c r="F166" s="164"/>
      <c r="G166" s="129"/>
      <c r="H166" s="130">
        <f>'1.7покраска'!M152</f>
        <v>3.1300000000000001E-2</v>
      </c>
      <c r="I166" s="129">
        <f>'1.7покраска'!N152</f>
        <v>2.3300000000000001E-2</v>
      </c>
      <c r="J166" s="122"/>
      <c r="K166" s="1056"/>
      <c r="L166" s="130"/>
      <c r="M166" s="129"/>
    </row>
    <row r="167" spans="2:13" ht="15" customHeight="1" x14ac:dyDescent="0.25">
      <c r="B167" s="1707"/>
      <c r="C167" s="716"/>
      <c r="D167" s="663" t="str">
        <f>'1.7покраска'!K153</f>
        <v>Ксилол</v>
      </c>
      <c r="E167" s="167" t="str">
        <f>'1.7покраска'!L153</f>
        <v>0616</v>
      </c>
      <c r="F167" s="164"/>
      <c r="G167" s="127"/>
      <c r="H167" s="164">
        <f>'1.7покраска'!M153</f>
        <v>0.23330000000000001</v>
      </c>
      <c r="I167" s="127">
        <f>'1.7покраска'!N153</f>
        <v>0.24908</v>
      </c>
      <c r="J167" s="122"/>
      <c r="K167" s="1053"/>
      <c r="L167" s="164"/>
      <c r="M167" s="127"/>
    </row>
    <row r="168" spans="2:13" ht="15" customHeight="1" x14ac:dyDescent="0.25">
      <c r="B168" s="1707"/>
      <c r="C168" s="716"/>
      <c r="D168" s="663" t="str">
        <f>'1.7покраска'!K154</f>
        <v>Сольвент</v>
      </c>
      <c r="E168" s="167" t="str">
        <f>'1.7покраска'!L154</f>
        <v>2750</v>
      </c>
      <c r="F168" s="164"/>
      <c r="G168" s="127"/>
      <c r="H168" s="164">
        <f>'1.7покраска'!M154</f>
        <v>2.2800000000000001E-2</v>
      </c>
      <c r="I168" s="127">
        <f>'1.7покраска'!N154</f>
        <v>5.4000000000000003E-3</v>
      </c>
      <c r="J168" s="122"/>
      <c r="K168" s="1053"/>
      <c r="L168" s="164"/>
      <c r="M168" s="127"/>
    </row>
    <row r="169" spans="2:13" ht="15" customHeight="1" x14ac:dyDescent="0.25">
      <c r="B169" s="1707"/>
      <c r="C169" s="716"/>
      <c r="D169" s="663" t="str">
        <f>'1.7покраска'!K155</f>
        <v>Ацетон</v>
      </c>
      <c r="E169" s="167" t="str">
        <f>'1.7покраска'!L155</f>
        <v>1401</v>
      </c>
      <c r="F169" s="164"/>
      <c r="G169" s="127"/>
      <c r="H169" s="164">
        <f>'1.7покраска'!M155</f>
        <v>3.2000000000000002E-3</v>
      </c>
      <c r="I169" s="127">
        <f>'1.7покраска'!N155</f>
        <v>4.5999999999999999E-3</v>
      </c>
      <c r="J169" s="122"/>
      <c r="K169" s="1053"/>
      <c r="L169" s="164"/>
      <c r="M169" s="127"/>
    </row>
    <row r="170" spans="2:13" ht="15" customHeight="1" x14ac:dyDescent="0.25">
      <c r="B170" s="1707"/>
      <c r="C170" s="716"/>
      <c r="D170" s="663" t="str">
        <f>'1.7покраска'!K156</f>
        <v>Бутилацетат</v>
      </c>
      <c r="E170" s="167" t="str">
        <f>'1.7покраска'!L156</f>
        <v>1210</v>
      </c>
      <c r="F170" s="164"/>
      <c r="G170" s="127"/>
      <c r="H170" s="164">
        <f>'1.7покраска'!M156</f>
        <v>5.8299999999999998E-2</v>
      </c>
      <c r="I170" s="127">
        <f>'1.7покраска'!N156</f>
        <v>5.5100000000000003E-2</v>
      </c>
      <c r="J170" s="122"/>
      <c r="K170" s="1053"/>
      <c r="L170" s="164"/>
      <c r="M170" s="127"/>
    </row>
    <row r="171" spans="2:13" ht="15" customHeight="1" x14ac:dyDescent="0.25">
      <c r="B171" s="1707"/>
      <c r="C171" s="716"/>
      <c r="D171" s="663" t="str">
        <f>'1.7покраска'!K157</f>
        <v>Углеводороды предельные С12-С19</v>
      </c>
      <c r="E171" s="167" t="str">
        <f>'1.7покраска'!L157</f>
        <v>2754</v>
      </c>
      <c r="F171" s="164"/>
      <c r="G171" s="127"/>
      <c r="H171" s="164">
        <f>'1.7покраска'!M157</f>
        <v>0.41670000000000001</v>
      </c>
      <c r="I171" s="127">
        <f>'1.7покраска'!N157</f>
        <v>0.71240000000000003</v>
      </c>
      <c r="J171" s="122"/>
      <c r="K171" s="1053"/>
      <c r="L171" s="164"/>
      <c r="M171" s="127"/>
    </row>
    <row r="172" spans="2:13" ht="15" customHeight="1" x14ac:dyDescent="0.25">
      <c r="B172" s="1707"/>
      <c r="C172" s="716"/>
      <c r="D172" s="664" t="str">
        <f>'1.7покраска'!K158</f>
        <v>Этилцеллозольв</v>
      </c>
      <c r="E172" s="169" t="str">
        <f>'1.7покраска'!L158</f>
        <v>1119</v>
      </c>
      <c r="F172" s="164"/>
      <c r="G172" s="127"/>
      <c r="H172" s="165">
        <f>'1.7покраска'!M158</f>
        <v>3.2000000000000002E-3</v>
      </c>
      <c r="I172" s="128">
        <f>'1.7покраска'!N158</f>
        <v>4.5999999999999999E-3</v>
      </c>
      <c r="J172" s="122"/>
      <c r="K172" s="1057"/>
      <c r="L172" s="164"/>
      <c r="M172" s="127"/>
    </row>
    <row r="173" spans="2:13" s="70" customFormat="1" ht="15" customHeight="1" x14ac:dyDescent="0.25">
      <c r="B173" s="1707"/>
      <c r="C173" s="671">
        <v>7051</v>
      </c>
      <c r="D173" s="661" t="str">
        <f>'1.8 сварка'!G66</f>
        <v>Фтористые газ.соед</v>
      </c>
      <c r="E173" s="171" t="str">
        <f>'1.8 сварка'!H66</f>
        <v>0342</v>
      </c>
      <c r="F173" s="177">
        <f>'1.8 сварка'!J66</f>
        <v>8.9999999999999998E-4</v>
      </c>
      <c r="G173" s="171">
        <f>'1.8 сварка'!K66</f>
        <v>2.7000000000000001E-3</v>
      </c>
      <c r="H173" s="130">
        <f>'1.8 сварка'!J163</f>
        <v>4.7000000000000002E-3</v>
      </c>
      <c r="I173" s="129">
        <f>'1.8 сварка'!K163</f>
        <v>1.9400000000000001E-2</v>
      </c>
      <c r="J173" s="121"/>
      <c r="K173" s="1056"/>
      <c r="L173" s="130"/>
      <c r="M173" s="129"/>
    </row>
    <row r="174" spans="2:13" s="70" customFormat="1" ht="15" customHeight="1" x14ac:dyDescent="0.25">
      <c r="B174" s="1707"/>
      <c r="C174" s="668"/>
      <c r="D174" s="663" t="str">
        <f>'1.8 сварка'!G67</f>
        <v>Диоксид азота</v>
      </c>
      <c r="E174" s="167" t="str">
        <f>'1.8 сварка'!H67</f>
        <v>0301</v>
      </c>
      <c r="F174" s="178">
        <f>'1.8 сварка'!J67</f>
        <v>1.6999999999999999E-3</v>
      </c>
      <c r="G174" s="167">
        <f>'1.8 сварка'!K67</f>
        <v>5.4000000000000003E-3</v>
      </c>
      <c r="H174" s="164">
        <f>'1.8 сварка'!J164</f>
        <v>9.4000000000000004E-3</v>
      </c>
      <c r="I174" s="127">
        <f>'1.8 сварка'!K164</f>
        <v>3.8699999999999998E-2</v>
      </c>
      <c r="J174" s="122"/>
      <c r="K174" s="1053"/>
      <c r="L174" s="164"/>
      <c r="M174" s="127"/>
    </row>
    <row r="175" spans="2:13" s="70" customFormat="1" ht="15" customHeight="1" x14ac:dyDescent="0.25">
      <c r="B175" s="1707"/>
      <c r="C175" s="668"/>
      <c r="D175" s="663" t="str">
        <f>'1.8 сварка'!G68</f>
        <v>Марганец и его соед.</v>
      </c>
      <c r="E175" s="167" t="str">
        <f>'1.8 сварка'!H68</f>
        <v>0143</v>
      </c>
      <c r="F175" s="178">
        <f>'1.8 сварка'!J68</f>
        <v>1.1000000000000001E-3</v>
      </c>
      <c r="G175" s="167">
        <f>'1.8 сварка'!K68</f>
        <v>3.3E-3</v>
      </c>
      <c r="H175" s="164">
        <f>'1.8 сварка'!J165</f>
        <v>5.7999999999999996E-3</v>
      </c>
      <c r="I175" s="127">
        <f>'1.8 сварка'!K165</f>
        <v>2.3800000000000002E-2</v>
      </c>
      <c r="J175" s="122"/>
      <c r="K175" s="1053"/>
      <c r="L175" s="164"/>
      <c r="M175" s="127"/>
    </row>
    <row r="176" spans="2:13" s="70" customFormat="1" ht="15" customHeight="1" x14ac:dyDescent="0.25">
      <c r="B176" s="1707"/>
      <c r="C176" s="668"/>
      <c r="D176" s="663" t="str">
        <f>'1.8 сварка'!G69</f>
        <v>Фториды</v>
      </c>
      <c r="E176" s="167" t="str">
        <f>'1.8 сварка'!H69</f>
        <v>0344</v>
      </c>
      <c r="F176" s="178">
        <f>'1.8 сварка'!J69</f>
        <v>3.8E-3</v>
      </c>
      <c r="G176" s="167">
        <f>'1.8 сварка'!K69</f>
        <v>1.18E-2</v>
      </c>
      <c r="H176" s="164">
        <f>'1.8 сварка'!J166</f>
        <v>2.07E-2</v>
      </c>
      <c r="I176" s="127">
        <f>'1.8 сварка'!K166</f>
        <v>8.5199999999999998E-2</v>
      </c>
      <c r="J176" s="122"/>
      <c r="K176" s="1053"/>
      <c r="L176" s="164"/>
      <c r="M176" s="127"/>
    </row>
    <row r="177" spans="2:13" s="70" customFormat="1" ht="15" customHeight="1" x14ac:dyDescent="0.25">
      <c r="B177" s="1707"/>
      <c r="C177" s="668"/>
      <c r="D177" s="663" t="str">
        <f>'1.8 сварка'!G70</f>
        <v>Железа оксид</v>
      </c>
      <c r="E177" s="167" t="str">
        <f>'1.8 сварка'!H70</f>
        <v>0123</v>
      </c>
      <c r="F177" s="178">
        <f>'1.8 сварка'!J70</f>
        <v>1.24E-2</v>
      </c>
      <c r="G177" s="167">
        <f>'1.8 сварка'!K70</f>
        <v>3.8300000000000001E-2</v>
      </c>
      <c r="H177" s="164">
        <f>'1.8 сварка'!J167</f>
        <v>6.7100000000000007E-2</v>
      </c>
      <c r="I177" s="127">
        <f>'1.8 сварка'!K167</f>
        <v>0.27600000000000002</v>
      </c>
      <c r="J177" s="122"/>
      <c r="K177" s="1053"/>
      <c r="L177" s="164"/>
      <c r="M177" s="127"/>
    </row>
    <row r="178" spans="2:13" s="70" customFormat="1" ht="15" customHeight="1" x14ac:dyDescent="0.25">
      <c r="B178" s="1707"/>
      <c r="C178" s="668"/>
      <c r="D178" s="663" t="str">
        <f>'1.8 сварка'!G71</f>
        <v>Пыль неорг.с сод-м SiO2 70-20 %</v>
      </c>
      <c r="E178" s="167">
        <f>'1.8 сварка'!H71</f>
        <v>2908</v>
      </c>
      <c r="F178" s="178">
        <f>'1.8 сварка'!J71</f>
        <v>1.6000000000000001E-3</v>
      </c>
      <c r="G178" s="167">
        <f>'1.8 сварка'!K71</f>
        <v>5.0000000000000001E-3</v>
      </c>
      <c r="H178" s="164">
        <f>'1.8 сварка'!J168</f>
        <v>8.8000000000000005E-3</v>
      </c>
      <c r="I178" s="127">
        <f>'1.8 сварка'!K168</f>
        <v>3.61E-2</v>
      </c>
      <c r="J178" s="122"/>
      <c r="K178" s="1053"/>
      <c r="L178" s="164"/>
      <c r="M178" s="127"/>
    </row>
    <row r="179" spans="2:13" s="70" customFormat="1" ht="15" customHeight="1" x14ac:dyDescent="0.25">
      <c r="B179" s="1707"/>
      <c r="C179" s="668"/>
      <c r="D179" s="663" t="str">
        <f>'1.8 сварка'!G72</f>
        <v>Оксид углерода</v>
      </c>
      <c r="E179" s="167" t="str">
        <f>'1.8 сварка'!H72</f>
        <v>0337</v>
      </c>
      <c r="F179" s="178">
        <f>'1.8 сварка'!J72</f>
        <v>1.54E-2</v>
      </c>
      <c r="G179" s="167">
        <f>'1.8 сварка'!K72</f>
        <v>4.7699999999999999E-2</v>
      </c>
      <c r="H179" s="164">
        <f>'1.8 сварка'!J169+'1.9сварка полиэтилена'!H48</f>
        <v>8.3502300000000002E-2</v>
      </c>
      <c r="I179" s="127">
        <f>'1.8 сварка'!K169+'1.9сварка полиэтилена'!I48</f>
        <v>0.34341182999999997</v>
      </c>
      <c r="J179" s="122"/>
      <c r="K179" s="1053"/>
      <c r="L179" s="164"/>
      <c r="M179" s="127"/>
    </row>
    <row r="180" spans="2:13" s="70" customFormat="1" ht="15" customHeight="1" x14ac:dyDescent="0.25">
      <c r="B180" s="1707"/>
      <c r="C180" s="660"/>
      <c r="D180" s="664" t="str">
        <f>'1.9сварка полиэтилена'!F49</f>
        <v>Хлорэтилен /Винилхлорид/</v>
      </c>
      <c r="E180" s="660" t="str">
        <f>'1.9сварка полиэтилена'!G49</f>
        <v>0827</v>
      </c>
      <c r="F180" s="165"/>
      <c r="G180" s="128"/>
      <c r="H180" s="165">
        <f>'1.9сварка полиэтилена'!H49</f>
        <v>9.9999999999999995E-7</v>
      </c>
      <c r="I180" s="128">
        <f>'1.9сварка полиэтилена'!I49</f>
        <v>5.13E-6</v>
      </c>
      <c r="J180" s="123"/>
      <c r="K180" s="1057"/>
      <c r="L180" s="165"/>
      <c r="M180" s="128"/>
    </row>
    <row r="181" spans="2:13" s="131" customFormat="1" ht="15" customHeight="1" x14ac:dyDescent="0.25">
      <c r="B181" s="1707"/>
      <c r="C181" s="626">
        <v>7053</v>
      </c>
      <c r="D181" s="627" t="str">
        <f>'1.13топливозаправщик'!K59</f>
        <v>Углеводороды предельные С12-С19</v>
      </c>
      <c r="E181" s="630">
        <f>'1.13топливозаправщик'!L59</f>
        <v>2754</v>
      </c>
      <c r="F181" s="629">
        <f>'1.13топливозаправщик'!N59</f>
        <v>6.3E-3</v>
      </c>
      <c r="G181" s="630">
        <f>'1.13топливозаправщик'!O59</f>
        <v>1.31E-3</v>
      </c>
      <c r="H181" s="629">
        <f>'1.13топливозаправщик'!N105</f>
        <v>6.3E-3</v>
      </c>
      <c r="I181" s="630">
        <f>'1.13топливозаправщик'!O105</f>
        <v>6.9999999999999999E-4</v>
      </c>
      <c r="J181" s="631"/>
      <c r="K181" s="1058"/>
      <c r="L181" s="629"/>
      <c r="M181" s="630"/>
    </row>
    <row r="182" spans="2:13" s="131" customFormat="1" ht="15" customHeight="1" x14ac:dyDescent="0.25">
      <c r="B182" s="1708"/>
      <c r="C182" s="632"/>
      <c r="D182" s="633" t="str">
        <f>'1.13топливозаправщик'!K60</f>
        <v>Сероводород</v>
      </c>
      <c r="E182" s="648" t="str">
        <f>'1.13топливозаправщик'!L60</f>
        <v>0333</v>
      </c>
      <c r="F182" s="649">
        <f>'1.13топливозаправщик'!N60</f>
        <v>2.0000000000000002E-5</v>
      </c>
      <c r="G182" s="636">
        <f>'1.13топливозаправщик'!O60</f>
        <v>3.9999999999999998E-6</v>
      </c>
      <c r="H182" s="649">
        <f>'1.13топливозаправщик'!N106</f>
        <v>2.0000000000000002E-5</v>
      </c>
      <c r="I182" s="650">
        <f>'1.13топливозаправщик'!O106</f>
        <v>1.9999999999999999E-6</v>
      </c>
      <c r="J182" s="637"/>
      <c r="K182" s="1059"/>
      <c r="L182" s="635"/>
      <c r="M182" s="636"/>
    </row>
    <row r="183" spans="2:13" s="659" customFormat="1" ht="15" customHeight="1" x14ac:dyDescent="0.25">
      <c r="B183" s="1706" t="s">
        <v>255</v>
      </c>
      <c r="C183" s="670">
        <v>7054</v>
      </c>
      <c r="D183" s="652" t="str">
        <f>'1.1 снятие ТГ бульдозер'!M72</f>
        <v>Пыль неорг.с сод-м SiO2 70-20%</v>
      </c>
      <c r="E183" s="653">
        <f>'1.1 снятие ТГ бульдозер'!N72</f>
        <v>2908</v>
      </c>
      <c r="F183" s="646"/>
      <c r="G183" s="641"/>
      <c r="H183" s="646"/>
      <c r="I183" s="641"/>
      <c r="J183" s="654">
        <f>'1.1 снятие ТГ бульдозер'!O72+'1.2погрузка экскаватором'!O111+'1.3земляные работы'!Q272</f>
        <v>0.31870000000000004</v>
      </c>
      <c r="K183" s="1061">
        <f>'1.1 снятие ТГ бульдозер'!P72+'1.2погрузка экскаватором'!P111+'1.3земляные работы'!R272</f>
        <v>0.13250000000000001</v>
      </c>
      <c r="L183" s="646"/>
      <c r="M183" s="641"/>
    </row>
    <row r="184" spans="2:13" s="659" customFormat="1" ht="15" customHeight="1" x14ac:dyDescent="0.25">
      <c r="B184" s="1707"/>
      <c r="C184" s="670">
        <v>7055</v>
      </c>
      <c r="D184" s="652" t="str">
        <f>'1.4 транспортирование'!R198</f>
        <v>Пыль неорг. с сод-м SiO2 70-20%</v>
      </c>
      <c r="E184" s="653">
        <f>'1.4 транспортирование'!S198</f>
        <v>2908</v>
      </c>
      <c r="F184" s="646"/>
      <c r="G184" s="641"/>
      <c r="H184" s="646"/>
      <c r="I184" s="641"/>
      <c r="J184" s="654">
        <f>'1.4 транспортирование'!T198</f>
        <v>2.8999999999999998E-3</v>
      </c>
      <c r="K184" s="1061">
        <f>'1.4 транспортирование'!U198</f>
        <v>2.4999999999999996E-3</v>
      </c>
      <c r="L184" s="646"/>
      <c r="M184" s="641"/>
    </row>
    <row r="185" spans="2:13" s="105" customFormat="1" ht="15" customHeight="1" x14ac:dyDescent="0.25">
      <c r="B185" s="1707"/>
      <c r="C185" s="668">
        <v>7056</v>
      </c>
      <c r="D185" s="644" t="str">
        <f>'1.6укладка асфальтобетона'!F36</f>
        <v>Углеводороды  предельные С12-С19</v>
      </c>
      <c r="E185" s="645" t="str">
        <f>'1.6укладка асфальтобетона'!G36</f>
        <v>2754</v>
      </c>
      <c r="F185" s="170"/>
      <c r="G185" s="171"/>
      <c r="H185" s="170"/>
      <c r="I185" s="171"/>
      <c r="J185" s="177">
        <f>'1.6укладка асфальтобетона'!H36</f>
        <v>0.11899999999999999</v>
      </c>
      <c r="K185" s="1063">
        <f>'1.6укладка асфальтобетона'!I36</f>
        <v>0.18</v>
      </c>
      <c r="L185" s="170"/>
      <c r="M185" s="171"/>
    </row>
    <row r="186" spans="2:13" s="105" customFormat="1" ht="15" customHeight="1" x14ac:dyDescent="0.25">
      <c r="B186" s="1707"/>
      <c r="C186" s="668"/>
      <c r="D186" s="644" t="str">
        <f>'1.5пересыпка материалов'!N128</f>
        <v>Пыль неорг.с сод-м SiO2 70-20%</v>
      </c>
      <c r="E186" s="645" t="str">
        <f>'1.5пересыпка материалов'!O128</f>
        <v>2908</v>
      </c>
      <c r="F186" s="168"/>
      <c r="G186" s="169"/>
      <c r="H186" s="168"/>
      <c r="I186" s="169"/>
      <c r="J186" s="179">
        <f>'1.5пересыпка материалов'!Q128</f>
        <v>1.6000000000000001E-3</v>
      </c>
      <c r="K186" s="1060">
        <f>'1.5пересыпка материалов'!R128</f>
        <v>5.5499999999999994E-3</v>
      </c>
      <c r="L186" s="168"/>
      <c r="M186" s="169"/>
    </row>
    <row r="187" spans="2:13" s="70" customFormat="1" ht="15" customHeight="1" x14ac:dyDescent="0.25">
      <c r="B187" s="1707"/>
      <c r="C187" s="671">
        <v>7057</v>
      </c>
      <c r="D187" s="661" t="str">
        <f>'1.8 сварка'!G292</f>
        <v>Фтористые газ.соед</v>
      </c>
      <c r="E187" s="171" t="str">
        <f>'1.8 сварка'!H292</f>
        <v>0342</v>
      </c>
      <c r="F187" s="164"/>
      <c r="G187" s="127"/>
      <c r="H187" s="164"/>
      <c r="I187" s="127"/>
      <c r="J187" s="122">
        <f>'1.8 сварка'!J292</f>
        <v>5.5999999999999995E-4</v>
      </c>
      <c r="K187" s="1053">
        <f>'1.8 сварка'!K292</f>
        <v>8.7000000000000001E-4</v>
      </c>
      <c r="L187" s="164"/>
      <c r="M187" s="127"/>
    </row>
    <row r="188" spans="2:13" s="70" customFormat="1" ht="15" customHeight="1" x14ac:dyDescent="0.25">
      <c r="B188" s="1707"/>
      <c r="C188" s="668"/>
      <c r="D188" s="663" t="str">
        <f>'1.8 сварка'!G293</f>
        <v>Диоксид азота</v>
      </c>
      <c r="E188" s="167" t="str">
        <f>'1.8 сварка'!H293</f>
        <v>0301</v>
      </c>
      <c r="F188" s="164"/>
      <c r="G188" s="127"/>
      <c r="H188" s="164"/>
      <c r="I188" s="127"/>
      <c r="J188" s="122">
        <f>'1.8 сварка'!J293</f>
        <v>1.1199999999999999E-3</v>
      </c>
      <c r="K188" s="1053">
        <f>'1.8 сварка'!K293</f>
        <v>1.6999999999999999E-3</v>
      </c>
      <c r="L188" s="164"/>
      <c r="M188" s="127"/>
    </row>
    <row r="189" spans="2:13" s="70" customFormat="1" ht="15" customHeight="1" x14ac:dyDescent="0.25">
      <c r="B189" s="1707"/>
      <c r="C189" s="668"/>
      <c r="D189" s="663" t="str">
        <f>'1.8 сварка'!G294</f>
        <v>Марганец и его соед.</v>
      </c>
      <c r="E189" s="167" t="str">
        <f>'1.8 сварка'!H294</f>
        <v>0143</v>
      </c>
      <c r="F189" s="164"/>
      <c r="G189" s="127"/>
      <c r="H189" s="164"/>
      <c r="I189" s="127"/>
      <c r="J189" s="122">
        <f>'1.8 сварка'!J294</f>
        <v>6.8999999999999997E-4</v>
      </c>
      <c r="K189" s="1053">
        <f>'1.8 сварка'!K294</f>
        <v>1.06E-3</v>
      </c>
      <c r="L189" s="164"/>
      <c r="M189" s="127"/>
    </row>
    <row r="190" spans="2:13" s="70" customFormat="1" ht="15" customHeight="1" x14ac:dyDescent="0.25">
      <c r="B190" s="1707"/>
      <c r="C190" s="668"/>
      <c r="D190" s="663" t="str">
        <f>'1.8 сварка'!G295</f>
        <v>Фториды</v>
      </c>
      <c r="E190" s="167" t="str">
        <f>'1.8 сварка'!H295</f>
        <v>0344</v>
      </c>
      <c r="F190" s="164"/>
      <c r="G190" s="127"/>
      <c r="H190" s="164"/>
      <c r="I190" s="127"/>
      <c r="J190" s="122">
        <f>'1.8 сварка'!J295</f>
        <v>2.5000000000000001E-3</v>
      </c>
      <c r="K190" s="1053">
        <f>'1.8 сварка'!K295</f>
        <v>3.8E-3</v>
      </c>
      <c r="L190" s="164"/>
      <c r="M190" s="127"/>
    </row>
    <row r="191" spans="2:13" s="70" customFormat="1" ht="15" customHeight="1" x14ac:dyDescent="0.25">
      <c r="B191" s="1707"/>
      <c r="C191" s="668"/>
      <c r="D191" s="663" t="str">
        <f>'1.8 сварка'!G296</f>
        <v>Железа оксид</v>
      </c>
      <c r="E191" s="167" t="str">
        <f>'1.8 сварка'!H296</f>
        <v>0123</v>
      </c>
      <c r="F191" s="164"/>
      <c r="G191" s="127"/>
      <c r="H191" s="164"/>
      <c r="I191" s="127"/>
      <c r="J191" s="122">
        <f>'1.8 сварка'!J296</f>
        <v>8.0000000000000002E-3</v>
      </c>
      <c r="K191" s="1053">
        <f>'1.8 сварка'!K296</f>
        <v>1.23E-2</v>
      </c>
      <c r="L191" s="164"/>
      <c r="M191" s="127"/>
    </row>
    <row r="192" spans="2:13" s="70" customFormat="1" ht="15" customHeight="1" x14ac:dyDescent="0.25">
      <c r="B192" s="1707"/>
      <c r="C192" s="668"/>
      <c r="D192" s="663" t="str">
        <f>'1.8 сварка'!G297</f>
        <v>Пыль неорг.с сод-м SiO2 70-20 %</v>
      </c>
      <c r="E192" s="167">
        <f>'1.8 сварка'!H297</f>
        <v>2908</v>
      </c>
      <c r="F192" s="164"/>
      <c r="G192" s="127"/>
      <c r="H192" s="164"/>
      <c r="I192" s="127"/>
      <c r="J192" s="122">
        <f>'1.8 сварка'!J297</f>
        <v>1.0499999999999999E-3</v>
      </c>
      <c r="K192" s="1053">
        <f>'1.8 сварка'!K297</f>
        <v>1.6000000000000001E-3</v>
      </c>
      <c r="L192" s="164"/>
      <c r="M192" s="127"/>
    </row>
    <row r="193" spans="2:13" s="70" customFormat="1" ht="15" customHeight="1" x14ac:dyDescent="0.25">
      <c r="B193" s="1707"/>
      <c r="C193" s="668"/>
      <c r="D193" s="663" t="str">
        <f>'1.8 сварка'!G298</f>
        <v>Оксид углерода</v>
      </c>
      <c r="E193" s="167" t="str">
        <f>'1.8 сварка'!H298</f>
        <v>0337</v>
      </c>
      <c r="F193" s="164"/>
      <c r="G193" s="127"/>
      <c r="H193" s="164"/>
      <c r="I193" s="127"/>
      <c r="J193" s="122">
        <f>'1.8 сварка'!J298+'1.9сварка полиэтилена'!H91</f>
        <v>9.9034600000000011E-3</v>
      </c>
      <c r="K193" s="1053">
        <f>'1.8 сварка'!K298+'1.9сварка полиэтилена'!I91</f>
        <v>1.540449E-2</v>
      </c>
      <c r="L193" s="164"/>
      <c r="M193" s="127"/>
    </row>
    <row r="194" spans="2:13" s="70" customFormat="1" ht="15" customHeight="1" x14ac:dyDescent="0.25">
      <c r="B194" s="1707"/>
      <c r="C194" s="668"/>
      <c r="D194" s="663" t="str">
        <f>'1.9сварка полиэтилена'!F92</f>
        <v>Хлорэтилен /Винилхлорид/</v>
      </c>
      <c r="E194" s="668" t="str">
        <f>'1.9сварка полиэтилена'!G92</f>
        <v>0827</v>
      </c>
      <c r="F194" s="164"/>
      <c r="G194" s="127"/>
      <c r="H194" s="164"/>
      <c r="I194" s="127"/>
      <c r="J194" s="122">
        <f>'1.9сварка полиэтилена'!H92</f>
        <v>1.5E-6</v>
      </c>
      <c r="K194" s="1053">
        <f>'1.9сварка полиэтилена'!I92</f>
        <v>1.9400000000000001E-6</v>
      </c>
      <c r="L194" s="164"/>
      <c r="M194" s="127"/>
    </row>
    <row r="195" spans="2:13" s="131" customFormat="1" ht="15" customHeight="1" x14ac:dyDescent="0.25">
      <c r="B195" s="1707"/>
      <c r="C195" s="626">
        <v>7058</v>
      </c>
      <c r="D195" s="627" t="str">
        <f>'1.13топливозаправщик'!K154</f>
        <v>Углеводороды предельные С12-С19</v>
      </c>
      <c r="E195" s="626">
        <f>'1.13топливозаправщик'!L154</f>
        <v>2754</v>
      </c>
      <c r="F195" s="629"/>
      <c r="G195" s="630"/>
      <c r="H195" s="629"/>
      <c r="I195" s="630"/>
      <c r="J195" s="631">
        <f>'1.13топливозаправщик'!N154</f>
        <v>6.3E-3</v>
      </c>
      <c r="K195" s="1058">
        <f>'1.13топливозаправщик'!O154</f>
        <v>4.4000000000000002E-4</v>
      </c>
      <c r="L195" s="629"/>
      <c r="M195" s="630"/>
    </row>
    <row r="196" spans="2:13" s="131" customFormat="1" ht="15" customHeight="1" x14ac:dyDescent="0.25">
      <c r="B196" s="1708"/>
      <c r="C196" s="632"/>
      <c r="D196" s="633" t="str">
        <f>'1.13топливозаправщик'!K155</f>
        <v>Сероводород</v>
      </c>
      <c r="E196" s="648" t="str">
        <f>'1.13топливозаправщик'!L155</f>
        <v>0333</v>
      </c>
      <c r="F196" s="649"/>
      <c r="G196" s="636"/>
      <c r="H196" s="649"/>
      <c r="I196" s="650"/>
      <c r="J196" s="677">
        <f>'1.13топливозаправщик'!N155</f>
        <v>2.0000000000000002E-5</v>
      </c>
      <c r="K196" s="1059">
        <f>'1.13топливозаправщик'!O155</f>
        <v>9.9999999999999995E-7</v>
      </c>
      <c r="L196" s="635"/>
      <c r="M196" s="636"/>
    </row>
    <row r="197" spans="2:13" s="659" customFormat="1" ht="15" customHeight="1" x14ac:dyDescent="0.25">
      <c r="B197" s="1706" t="s">
        <v>911</v>
      </c>
      <c r="C197" s="670">
        <v>7059</v>
      </c>
      <c r="D197" s="652" t="str">
        <f>'1.3земляные работы'!N71</f>
        <v>Пыль неорг.с сод-м SiO2 70-20%</v>
      </c>
      <c r="E197" s="653" t="str">
        <f>'1.3земляные работы'!O71</f>
        <v>2908</v>
      </c>
      <c r="F197" s="646">
        <f>'1.3земляные работы'!Q71</f>
        <v>2.1899999999999999E-2</v>
      </c>
      <c r="G197" s="646">
        <f>'1.3земляные работы'!R71</f>
        <v>0.152</v>
      </c>
      <c r="H197" s="646">
        <f>'1.3земляные работы'!Q173</f>
        <v>2.0000000000000001E-4</v>
      </c>
      <c r="I197" s="641">
        <f>'1.3земляные работы'!R173</f>
        <v>5.0000000000000001E-4</v>
      </c>
      <c r="J197" s="654">
        <f>'1.3земляные работы'!Q278</f>
        <v>7.3000000000000001E-3</v>
      </c>
      <c r="K197" s="1061">
        <f>'1.3земляные работы'!R278</f>
        <v>1.75E-3</v>
      </c>
      <c r="L197" s="646"/>
      <c r="M197" s="641"/>
    </row>
    <row r="198" spans="2:13" s="659" customFormat="1" ht="15" customHeight="1" x14ac:dyDescent="0.25">
      <c r="B198" s="1707"/>
      <c r="C198" s="670">
        <v>7060</v>
      </c>
      <c r="D198" s="652" t="str">
        <f>'1.4 транспортирование'!R131</f>
        <v>Пыль неорг. с сод-м SiO2 70-20%</v>
      </c>
      <c r="E198" s="653">
        <f>'1.4 транспортирование'!S131</f>
        <v>2908</v>
      </c>
      <c r="F198" s="646"/>
      <c r="G198" s="641"/>
      <c r="H198" s="646">
        <f>'1.4 транспортирование'!T131</f>
        <v>1.8E-3</v>
      </c>
      <c r="I198" s="641">
        <f>'1.4 транспортирование'!U131</f>
        <v>4.0000000000000002E-4</v>
      </c>
      <c r="J198" s="654">
        <f>'1.4 транспортирование'!T202</f>
        <v>2.2000000000000001E-3</v>
      </c>
      <c r="K198" s="1061">
        <f>'1.4 транспортирование'!U202</f>
        <v>1.5E-3</v>
      </c>
      <c r="L198" s="646"/>
      <c r="M198" s="641"/>
    </row>
    <row r="199" spans="2:13" s="105" customFormat="1" ht="15" customHeight="1" x14ac:dyDescent="0.25">
      <c r="B199" s="1707"/>
      <c r="C199" s="668">
        <v>7061</v>
      </c>
      <c r="D199" s="644" t="str">
        <f>'1.5пересыпка материалов'!N59</f>
        <v>Пыль неорг.с сод-м SiO2 70-20%</v>
      </c>
      <c r="E199" s="645" t="str">
        <f>'1.5пересыпка материалов'!O59</f>
        <v>2908</v>
      </c>
      <c r="F199" s="168"/>
      <c r="G199" s="641"/>
      <c r="H199" s="166">
        <f>'1.5пересыпка материалов'!Q59</f>
        <v>0.23330000000000001</v>
      </c>
      <c r="I199" s="167">
        <f>'1.5пересыпка материалов'!R59</f>
        <v>3.109E-2</v>
      </c>
      <c r="J199" s="654"/>
      <c r="K199" s="1061"/>
      <c r="L199" s="166"/>
      <c r="M199" s="167"/>
    </row>
    <row r="200" spans="2:13" s="70" customFormat="1" ht="15" customHeight="1" x14ac:dyDescent="0.25">
      <c r="B200" s="1707"/>
      <c r="C200" s="671">
        <v>7062</v>
      </c>
      <c r="D200" s="661" t="str">
        <f>'1.7покраска'!K174</f>
        <v>Уайт-спирит</v>
      </c>
      <c r="E200" s="671" t="str">
        <f>'1.7покраска'!L174</f>
        <v>2752</v>
      </c>
      <c r="F200" s="164"/>
      <c r="G200" s="129"/>
      <c r="H200" s="130">
        <f>'1.7покраска'!M174</f>
        <v>3.1300000000000001E-2</v>
      </c>
      <c r="I200" s="129">
        <f>'1.7покраска'!N174</f>
        <v>1.5999999999999999E-3</v>
      </c>
      <c r="J200" s="122">
        <f>'1.7покраска'!M378</f>
        <v>3.1300000000000001E-2</v>
      </c>
      <c r="K200" s="1056">
        <f>'1.7покраска'!N378</f>
        <v>2.3900000000000001E-2</v>
      </c>
      <c r="L200" s="130"/>
      <c r="M200" s="129"/>
    </row>
    <row r="201" spans="2:13" s="70" customFormat="1" ht="15" customHeight="1" x14ac:dyDescent="0.25">
      <c r="B201" s="1707"/>
      <c r="C201" s="668"/>
      <c r="D201" s="663" t="str">
        <f>'1.7покраска'!K175</f>
        <v>Ксилол</v>
      </c>
      <c r="E201" s="668" t="str">
        <f>'1.7покраска'!L175</f>
        <v>0616</v>
      </c>
      <c r="F201" s="164"/>
      <c r="G201" s="127"/>
      <c r="H201" s="164">
        <f>'1.7покраска'!M175</f>
        <v>0.31109999999999999</v>
      </c>
      <c r="I201" s="127">
        <f>'1.7покраска'!N175</f>
        <v>0.38762999999999997</v>
      </c>
      <c r="J201" s="122">
        <f>'1.7покраска'!M379</f>
        <v>6.25E-2</v>
      </c>
      <c r="K201" s="1053">
        <f>'1.7покраска'!N379</f>
        <v>9.8150000000000001E-2</v>
      </c>
      <c r="L201" s="164"/>
      <c r="M201" s="127"/>
    </row>
    <row r="202" spans="2:13" s="70" customFormat="1" ht="15" customHeight="1" x14ac:dyDescent="0.25">
      <c r="B202" s="1707"/>
      <c r="C202" s="668"/>
      <c r="D202" s="663" t="str">
        <f>'1.7покраска'!K176</f>
        <v>Сольвент</v>
      </c>
      <c r="E202" s="668" t="str">
        <f>'1.7покраска'!L176</f>
        <v>2750</v>
      </c>
      <c r="F202" s="164"/>
      <c r="G202" s="127"/>
      <c r="H202" s="164">
        <f>'1.7покраска'!M176</f>
        <v>2.2800000000000001E-2</v>
      </c>
      <c r="I202" s="127">
        <f>'1.7покраска'!N176</f>
        <v>6.9999999999999999E-4</v>
      </c>
      <c r="J202" s="122"/>
      <c r="K202" s="1053"/>
      <c r="L202" s="164"/>
      <c r="M202" s="127"/>
    </row>
    <row r="203" spans="2:13" s="70" customFormat="1" ht="15" customHeight="1" x14ac:dyDescent="0.25">
      <c r="B203" s="1707"/>
      <c r="C203" s="668"/>
      <c r="D203" s="663" t="str">
        <f>'1.7покраска'!K177</f>
        <v>Ацетон</v>
      </c>
      <c r="E203" s="668" t="str">
        <f>'1.7покраска'!L177</f>
        <v>1401</v>
      </c>
      <c r="F203" s="164"/>
      <c r="G203" s="127"/>
      <c r="H203" s="164">
        <f>'1.7покраска'!M177</f>
        <v>3.1699999999999999E-2</v>
      </c>
      <c r="I203" s="127">
        <f>'1.7покраска'!N177</f>
        <v>5.3E-3</v>
      </c>
      <c r="J203" s="122"/>
      <c r="K203" s="1053"/>
      <c r="L203" s="164"/>
      <c r="M203" s="127"/>
    </row>
    <row r="204" spans="2:13" s="70" customFormat="1" ht="15" customHeight="1" x14ac:dyDescent="0.25">
      <c r="B204" s="1707"/>
      <c r="C204" s="668"/>
      <c r="D204" s="663" t="str">
        <f>'1.7покраска'!K178</f>
        <v>Бутилацетат</v>
      </c>
      <c r="E204" s="668" t="str">
        <f>'1.7покраска'!L178</f>
        <v>1210</v>
      </c>
      <c r="F204" s="164"/>
      <c r="G204" s="127"/>
      <c r="H204" s="164">
        <f>'1.7покраска'!M178</f>
        <v>7.7799999999999994E-2</v>
      </c>
      <c r="I204" s="127">
        <f>'1.7покраска'!N178</f>
        <v>9.4799999999999995E-2</v>
      </c>
      <c r="J204" s="122"/>
      <c r="K204" s="1053"/>
      <c r="L204" s="164"/>
      <c r="M204" s="127"/>
    </row>
    <row r="205" spans="2:13" s="70" customFormat="1" ht="15" customHeight="1" x14ac:dyDescent="0.25">
      <c r="B205" s="1707"/>
      <c r="C205" s="668"/>
      <c r="D205" s="663" t="str">
        <f>'1.7покраска'!K179</f>
        <v>Углеводороды предельные С12-С19</v>
      </c>
      <c r="E205" s="668" t="str">
        <f>'1.7покраска'!L179</f>
        <v>2754</v>
      </c>
      <c r="F205" s="164"/>
      <c r="G205" s="127"/>
      <c r="H205" s="164">
        <f>'1.7покраска'!M179</f>
        <v>0.58330000000000004</v>
      </c>
      <c r="I205" s="127">
        <f>'1.7покраска'!N179</f>
        <v>0.94529999999999992</v>
      </c>
      <c r="J205" s="122">
        <f>'1.7покраска'!M380</f>
        <v>6.25E-2</v>
      </c>
      <c r="K205" s="1053">
        <f>'1.7покраска'!N380</f>
        <v>8.5300000000000001E-2</v>
      </c>
      <c r="L205" s="164"/>
      <c r="M205" s="127"/>
    </row>
    <row r="206" spans="2:13" s="70" customFormat="1" ht="15" customHeight="1" x14ac:dyDescent="0.25">
      <c r="B206" s="1707"/>
      <c r="C206" s="668"/>
      <c r="D206" s="664" t="str">
        <f>'1.7покраска'!K180</f>
        <v>Этилцеллозольв</v>
      </c>
      <c r="E206" s="660" t="str">
        <f>'1.7покраска'!L180</f>
        <v>1119</v>
      </c>
      <c r="F206" s="164"/>
      <c r="G206" s="127"/>
      <c r="H206" s="165">
        <f>'1.7покраска'!M180</f>
        <v>3.1699999999999999E-2</v>
      </c>
      <c r="I206" s="128">
        <f>'1.7покраска'!N180</f>
        <v>5.3E-3</v>
      </c>
      <c r="J206" s="122"/>
      <c r="K206" s="1057"/>
      <c r="L206" s="164"/>
      <c r="M206" s="127"/>
    </row>
    <row r="207" spans="2:13" ht="15" customHeight="1" x14ac:dyDescent="0.25">
      <c r="B207" s="1707"/>
      <c r="C207" s="671">
        <v>7063</v>
      </c>
      <c r="D207" s="661" t="str">
        <f>'1.8 сварка'!G171</f>
        <v>Фтористые газ.соед</v>
      </c>
      <c r="E207" s="671" t="str">
        <f>'1.8 сварка'!H171</f>
        <v>0342</v>
      </c>
      <c r="F207" s="177"/>
      <c r="G207" s="171"/>
      <c r="H207" s="130">
        <f>'1.8 сварка'!J171</f>
        <v>4.0000000000000003E-5</v>
      </c>
      <c r="I207" s="129">
        <f>'1.8 сварка'!K171</f>
        <v>2.0000000000000001E-4</v>
      </c>
      <c r="J207" s="121">
        <f>'1.8 сварка'!J300</f>
        <v>1.9E-3</v>
      </c>
      <c r="K207" s="1056">
        <f>'1.8 сварка'!K300</f>
        <v>7.0000000000000001E-3</v>
      </c>
      <c r="L207" s="130"/>
      <c r="M207" s="129"/>
    </row>
    <row r="208" spans="2:13" ht="15" customHeight="1" x14ac:dyDescent="0.25">
      <c r="B208" s="1707"/>
      <c r="C208" s="716"/>
      <c r="D208" s="663" t="str">
        <f>'1.8 сварка'!G172</f>
        <v>Диоксид азота</v>
      </c>
      <c r="E208" s="668" t="str">
        <f>'1.8 сварка'!H172</f>
        <v>0301</v>
      </c>
      <c r="F208" s="178"/>
      <c r="G208" s="167"/>
      <c r="H208" s="164">
        <f>'1.8 сварка'!J172</f>
        <v>1E-4</v>
      </c>
      <c r="I208" s="127">
        <f>'1.8 сварка'!K172</f>
        <v>4.0000000000000002E-4</v>
      </c>
      <c r="J208" s="122">
        <f>'1.8 сварка'!J301</f>
        <v>3.8999999999999998E-3</v>
      </c>
      <c r="K208" s="1053">
        <f>'1.8 сварка'!K301</f>
        <v>1.3899999999999999E-2</v>
      </c>
      <c r="L208" s="164"/>
      <c r="M208" s="127"/>
    </row>
    <row r="209" spans="2:13" ht="15" customHeight="1" x14ac:dyDescent="0.25">
      <c r="B209" s="1707"/>
      <c r="C209" s="716"/>
      <c r="D209" s="663" t="str">
        <f>'1.8 сварка'!G173</f>
        <v>Марганец и его соед.</v>
      </c>
      <c r="E209" s="668" t="str">
        <f>'1.8 сварка'!H173</f>
        <v>0143</v>
      </c>
      <c r="F209" s="178"/>
      <c r="G209" s="167"/>
      <c r="H209" s="164">
        <f>'1.8 сварка'!J173</f>
        <v>4.0000000000000003E-5</v>
      </c>
      <c r="I209" s="127">
        <f>'1.8 сварка'!K173</f>
        <v>2.9999999999999997E-4</v>
      </c>
      <c r="J209" s="122">
        <f>'1.8 сварка'!J302</f>
        <v>2.3999999999999998E-3</v>
      </c>
      <c r="K209" s="1053">
        <f>'1.8 сварка'!K302</f>
        <v>8.5000000000000006E-3</v>
      </c>
      <c r="L209" s="164"/>
      <c r="M209" s="127"/>
    </row>
    <row r="210" spans="2:13" ht="15" customHeight="1" x14ac:dyDescent="0.25">
      <c r="B210" s="1707"/>
      <c r="C210" s="716"/>
      <c r="D210" s="663" t="str">
        <f>'1.8 сварка'!G174</f>
        <v>Фториды</v>
      </c>
      <c r="E210" s="668" t="str">
        <f>'1.8 сварка'!H174</f>
        <v>0344</v>
      </c>
      <c r="F210" s="178"/>
      <c r="G210" s="167"/>
      <c r="H210" s="164">
        <f>'1.8 сварка'!J174</f>
        <v>2.0000000000000001E-4</v>
      </c>
      <c r="I210" s="127">
        <f>'1.8 сварка'!K174</f>
        <v>1E-3</v>
      </c>
      <c r="J210" s="122">
        <f>'1.8 сварка'!J303</f>
        <v>8.5000000000000006E-3</v>
      </c>
      <c r="K210" s="1053">
        <f>'1.8 сварка'!K303</f>
        <v>3.0599999999999999E-2</v>
      </c>
      <c r="L210" s="164"/>
      <c r="M210" s="127"/>
    </row>
    <row r="211" spans="2:13" ht="15" customHeight="1" x14ac:dyDescent="0.25">
      <c r="B211" s="1707"/>
      <c r="C211" s="716"/>
      <c r="D211" s="663" t="str">
        <f>'1.8 сварка'!G175</f>
        <v>Железа оксид</v>
      </c>
      <c r="E211" s="668" t="str">
        <f>'1.8 сварка'!H175</f>
        <v>0123</v>
      </c>
      <c r="F211" s="178"/>
      <c r="G211" s="167"/>
      <c r="H211" s="164">
        <f>'1.8 сварка'!J175</f>
        <v>5.0000000000000001E-4</v>
      </c>
      <c r="I211" s="127">
        <f>'1.8 сварка'!K175</f>
        <v>3.0999999999999999E-3</v>
      </c>
      <c r="J211" s="122">
        <f>'1.8 сварка'!J304</f>
        <v>2.75E-2</v>
      </c>
      <c r="K211" s="1053">
        <f>'1.8 сварка'!K304</f>
        <v>9.9199999999999997E-2</v>
      </c>
      <c r="L211" s="164"/>
      <c r="M211" s="127"/>
    </row>
    <row r="212" spans="2:13" ht="15" customHeight="1" x14ac:dyDescent="0.25">
      <c r="B212" s="1707"/>
      <c r="C212" s="716"/>
      <c r="D212" s="663" t="str">
        <f>'1.8 сварка'!G176</f>
        <v>Пыль неорг.с сод-м SiO2 70-20 %</v>
      </c>
      <c r="E212" s="668">
        <f>'1.8 сварка'!H176</f>
        <v>2908</v>
      </c>
      <c r="F212" s="178"/>
      <c r="G212" s="167"/>
      <c r="H212" s="164">
        <f>'1.8 сварка'!J176</f>
        <v>1E-4</v>
      </c>
      <c r="I212" s="127">
        <f>'1.8 сварка'!K176</f>
        <v>4.0000000000000002E-4</v>
      </c>
      <c r="J212" s="122">
        <f>'1.8 сварка'!J305</f>
        <v>3.5999999999999999E-3</v>
      </c>
      <c r="K212" s="1053">
        <f>'1.8 сварка'!K305</f>
        <v>1.2999999999999999E-2</v>
      </c>
      <c r="L212" s="164"/>
      <c r="M212" s="127"/>
    </row>
    <row r="213" spans="2:13" ht="15" customHeight="1" x14ac:dyDescent="0.25">
      <c r="B213" s="1707"/>
      <c r="C213" s="716"/>
      <c r="D213" s="663" t="str">
        <f>'1.8 сварка'!G177</f>
        <v>Оксид углерода</v>
      </c>
      <c r="E213" s="668" t="str">
        <f>'1.8 сварка'!H177</f>
        <v>0337</v>
      </c>
      <c r="F213" s="178"/>
      <c r="G213" s="167"/>
      <c r="H213" s="164">
        <f>'1.8 сварка'!J177+'1.9сварка полиэтилена'!H51</f>
        <v>6.002999999999999E-4</v>
      </c>
      <c r="I213" s="127">
        <f>'1.8 сварка'!K177+'1.9сварка полиэтилена'!I51</f>
        <v>3.9004299999999999E-3</v>
      </c>
      <c r="J213" s="122">
        <f>'1.8 сварка'!J306+'1.9сварка полиэтилена'!H94</f>
        <v>3.42002E-2</v>
      </c>
      <c r="K213" s="1053">
        <f>'1.8 сварка'!K306+'1.9сварка полиэтилена'!I94</f>
        <v>0.12340063</v>
      </c>
      <c r="L213" s="164"/>
      <c r="M213" s="127"/>
    </row>
    <row r="214" spans="2:13" ht="15" customHeight="1" x14ac:dyDescent="0.25">
      <c r="B214" s="1707"/>
      <c r="C214" s="717"/>
      <c r="D214" s="664" t="str">
        <f>'1.9сварка полиэтилена'!F52</f>
        <v>Хлорэтилен /Винилхлорид/</v>
      </c>
      <c r="E214" s="665" t="str">
        <f>'1.9сварка полиэтилена'!G52</f>
        <v>0827</v>
      </c>
      <c r="F214" s="179"/>
      <c r="G214" s="660"/>
      <c r="H214" s="165">
        <f>'1.9сварка полиэтилена'!H52</f>
        <v>9.9999999999999995E-8</v>
      </c>
      <c r="I214" s="128">
        <f>'1.9сварка полиэтилена'!I52</f>
        <v>1.9000000000000001E-7</v>
      </c>
      <c r="J214" s="123">
        <f>'1.9сварка полиэтилена'!H95</f>
        <v>9.9999999999999995E-8</v>
      </c>
      <c r="K214" s="1057">
        <f>'1.9сварка полиэтилена'!I95</f>
        <v>2.7000000000000001E-7</v>
      </c>
      <c r="L214" s="165"/>
      <c r="M214" s="128"/>
    </row>
    <row r="215" spans="2:13" s="131" customFormat="1" ht="15" customHeight="1" x14ac:dyDescent="0.25">
      <c r="B215" s="1707"/>
      <c r="C215" s="626">
        <v>7065</v>
      </c>
      <c r="D215" s="627" t="str">
        <f>'1.13топливозаправщик'!K62</f>
        <v>Углеводороды предельные С12-С19</v>
      </c>
      <c r="E215" s="626">
        <f>'1.13топливозаправщик'!L62</f>
        <v>2754</v>
      </c>
      <c r="F215" s="629">
        <f>'1.13топливозаправщик'!N62</f>
        <v>6.3E-3</v>
      </c>
      <c r="G215" s="630">
        <f>'1.13топливозаправщик'!O62</f>
        <v>8.0999999999999996E-4</v>
      </c>
      <c r="H215" s="629">
        <f>'1.13топливозаправщик'!N108</f>
        <v>6.3E-3</v>
      </c>
      <c r="I215" s="630">
        <f>'1.13топливозаправщик'!O108</f>
        <v>1.16E-3</v>
      </c>
      <c r="J215" s="631">
        <f>'1.13топливозаправщик'!N157</f>
        <v>6.3E-3</v>
      </c>
      <c r="K215" s="1058">
        <f>'1.13топливозаправщик'!O157</f>
        <v>3.5E-4</v>
      </c>
      <c r="L215" s="629"/>
      <c r="M215" s="630"/>
    </row>
    <row r="216" spans="2:13" s="131" customFormat="1" ht="15" customHeight="1" x14ac:dyDescent="0.25">
      <c r="B216" s="1708"/>
      <c r="C216" s="632"/>
      <c r="D216" s="633" t="str">
        <f>'1.13топливозаправщик'!K63</f>
        <v>Сероводород</v>
      </c>
      <c r="E216" s="648" t="str">
        <f>'1.13топливозаправщик'!L63</f>
        <v>0333</v>
      </c>
      <c r="F216" s="649">
        <f>'1.13топливозаправщик'!N63</f>
        <v>2.0000000000000002E-5</v>
      </c>
      <c r="G216" s="636">
        <f>'1.13топливозаправщик'!O63</f>
        <v>1.9999999999999999E-6</v>
      </c>
      <c r="H216" s="649">
        <f>'1.13топливозаправщик'!N109</f>
        <v>2.0000000000000002E-5</v>
      </c>
      <c r="I216" s="650">
        <f>'1.13топливозаправщик'!O109</f>
        <v>3.0000000000000001E-6</v>
      </c>
      <c r="J216" s="677">
        <f>'1.13топливозаправщик'!N158</f>
        <v>2.0000000000000002E-5</v>
      </c>
      <c r="K216" s="1062">
        <f>'1.13топливозаправщик'!O158</f>
        <v>9.9999999999999995E-7</v>
      </c>
      <c r="L216" s="635"/>
      <c r="M216" s="636"/>
    </row>
    <row r="217" spans="2:13" s="105" customFormat="1" ht="15" customHeight="1" x14ac:dyDescent="0.25">
      <c r="B217" s="1706" t="s">
        <v>260</v>
      </c>
      <c r="C217" s="670">
        <v>7066</v>
      </c>
      <c r="D217" s="652" t="str">
        <f>'1.1 снятие ТГ бульдозер'!M67</f>
        <v>Пыль неорг.с сод-м SiO2 70-20%</v>
      </c>
      <c r="E217" s="653">
        <f>'1.1 снятие ТГ бульдозер'!N67</f>
        <v>2908</v>
      </c>
      <c r="F217" s="646"/>
      <c r="G217" s="641"/>
      <c r="H217" s="646">
        <f>'1.1 снятие ТГ бульдозер'!O67+'1.2погрузка экскаватором'!O94+'1.3земляные работы'!Q184</f>
        <v>0.35510000000000003</v>
      </c>
      <c r="I217" s="641">
        <f>'1.1 снятие ТГ бульдозер'!P67+'1.2погрузка экскаватором'!P94+'1.3земляные работы'!R184</f>
        <v>0.22417000000000001</v>
      </c>
      <c r="J217" s="654"/>
      <c r="K217" s="1061"/>
      <c r="L217" s="646"/>
      <c r="M217" s="641"/>
    </row>
    <row r="218" spans="2:13" s="105" customFormat="1" ht="15" customHeight="1" x14ac:dyDescent="0.25">
      <c r="B218" s="1707"/>
      <c r="C218" s="670">
        <v>7067</v>
      </c>
      <c r="D218" s="652" t="str">
        <f>'1.4 транспортирование'!R139</f>
        <v>Пыль неорг. с сод-м SiO2 70-20%</v>
      </c>
      <c r="E218" s="653">
        <f>'1.4 транспортирование'!S139</f>
        <v>2908</v>
      </c>
      <c r="F218" s="646"/>
      <c r="G218" s="641"/>
      <c r="H218" s="646">
        <f>'1.4 транспортирование'!T139</f>
        <v>1.1200000000000002E-2</v>
      </c>
      <c r="I218" s="641">
        <f>'1.4 транспортирование'!U139</f>
        <v>3.3999999999999998E-3</v>
      </c>
      <c r="J218" s="654"/>
      <c r="K218" s="1061"/>
      <c r="L218" s="646"/>
      <c r="M218" s="641"/>
    </row>
    <row r="219" spans="2:13" s="105" customFormat="1" ht="15" customHeight="1" x14ac:dyDescent="0.25">
      <c r="B219" s="1707"/>
      <c r="C219" s="668">
        <v>7068</v>
      </c>
      <c r="D219" s="644" t="str">
        <f>'1.6укладка асфальтобетона'!F33</f>
        <v>Углеводороды  предельные С12-С19</v>
      </c>
      <c r="E219" s="645" t="str">
        <f>'1.6укладка асфальтобетона'!G33</f>
        <v>2754</v>
      </c>
      <c r="F219" s="170"/>
      <c r="G219" s="171"/>
      <c r="H219" s="170">
        <f>'1.6укладка асфальтобетона'!H33</f>
        <v>0.44640000000000002</v>
      </c>
      <c r="I219" s="171">
        <f>'1.6укладка асфальтобетона'!I33</f>
        <v>0.18</v>
      </c>
      <c r="J219" s="177"/>
      <c r="K219" s="1063"/>
      <c r="L219" s="170"/>
      <c r="M219" s="171"/>
    </row>
    <row r="220" spans="2:13" s="105" customFormat="1" ht="15" customHeight="1" x14ac:dyDescent="0.25">
      <c r="B220" s="1707"/>
      <c r="C220" s="668"/>
      <c r="D220" s="644" t="str">
        <f>'1.5пересыпка материалов'!N116</f>
        <v>Пыль неорг.с сод-м SiO2 70-20%</v>
      </c>
      <c r="E220" s="645" t="str">
        <f>'1.5пересыпка материалов'!O116</f>
        <v>2908</v>
      </c>
      <c r="F220" s="168"/>
      <c r="G220" s="169"/>
      <c r="H220" s="168">
        <f>'1.5пересыпка материалов'!Q116</f>
        <v>1.9E-3</v>
      </c>
      <c r="I220" s="169">
        <f>'1.5пересыпка материалов'!R116</f>
        <v>2.4000000000000002E-3</v>
      </c>
      <c r="J220" s="179"/>
      <c r="K220" s="1060"/>
      <c r="L220" s="168"/>
      <c r="M220" s="169"/>
    </row>
    <row r="221" spans="2:13" s="70" customFormat="1" ht="15" customHeight="1" x14ac:dyDescent="0.25">
      <c r="B221" s="1707"/>
      <c r="C221" s="671">
        <v>7069</v>
      </c>
      <c r="D221" s="661" t="str">
        <f>'1.8 сварка'!G179</f>
        <v>Фтористые газ.соед</v>
      </c>
      <c r="E221" s="171" t="str">
        <f>'1.8 сварка'!H179</f>
        <v>0342</v>
      </c>
      <c r="F221" s="164"/>
      <c r="G221" s="127"/>
      <c r="H221" s="164">
        <f>'1.8 сварка'!J179</f>
        <v>1.8E-3</v>
      </c>
      <c r="I221" s="127">
        <f>'1.8 сварка'!K179</f>
        <v>5.9999999999999995E-4</v>
      </c>
      <c r="J221" s="122"/>
      <c r="K221" s="1053"/>
      <c r="L221" s="164"/>
      <c r="M221" s="127"/>
    </row>
    <row r="222" spans="2:13" s="70" customFormat="1" ht="15" customHeight="1" x14ac:dyDescent="0.25">
      <c r="B222" s="1707"/>
      <c r="C222" s="668"/>
      <c r="D222" s="663" t="str">
        <f>'1.8 сварка'!G180</f>
        <v>Диоксид азота</v>
      </c>
      <c r="E222" s="167" t="str">
        <f>'1.8 сварка'!H180</f>
        <v>0301</v>
      </c>
      <c r="F222" s="164"/>
      <c r="G222" s="127"/>
      <c r="H222" s="164">
        <f>'1.8 сварка'!J180</f>
        <v>3.5999999999999999E-3</v>
      </c>
      <c r="I222" s="127">
        <f>'1.8 сварка'!K180</f>
        <v>1.1000000000000001E-3</v>
      </c>
      <c r="J222" s="122"/>
      <c r="K222" s="1053"/>
      <c r="L222" s="164"/>
      <c r="M222" s="127"/>
    </row>
    <row r="223" spans="2:13" s="70" customFormat="1" ht="15" customHeight="1" x14ac:dyDescent="0.25">
      <c r="B223" s="1707"/>
      <c r="C223" s="668"/>
      <c r="D223" s="663" t="str">
        <f>'1.8 сварка'!G181</f>
        <v>Марганец и его соед.</v>
      </c>
      <c r="E223" s="167" t="str">
        <f>'1.8 сварка'!H181</f>
        <v>0143</v>
      </c>
      <c r="F223" s="164"/>
      <c r="G223" s="127"/>
      <c r="H223" s="164">
        <f>'1.8 сварка'!J181</f>
        <v>2.2000000000000001E-3</v>
      </c>
      <c r="I223" s="127">
        <f>'1.8 сварка'!K181</f>
        <v>6.9999999999999999E-4</v>
      </c>
      <c r="J223" s="122"/>
      <c r="K223" s="1053"/>
      <c r="L223" s="164"/>
      <c r="M223" s="127"/>
    </row>
    <row r="224" spans="2:13" s="70" customFormat="1" ht="15" customHeight="1" x14ac:dyDescent="0.25">
      <c r="B224" s="1707"/>
      <c r="C224" s="668"/>
      <c r="D224" s="663" t="str">
        <f>'1.8 сварка'!G182</f>
        <v>Фториды</v>
      </c>
      <c r="E224" s="167" t="str">
        <f>'1.8 сварка'!H182</f>
        <v>0344</v>
      </c>
      <c r="F224" s="164"/>
      <c r="G224" s="127"/>
      <c r="H224" s="164">
        <f>'1.8 сварка'!J182</f>
        <v>8.0000000000000002E-3</v>
      </c>
      <c r="I224" s="127">
        <f>'1.8 сварка'!K182</f>
        <v>2.5000000000000001E-3</v>
      </c>
      <c r="J224" s="122"/>
      <c r="K224" s="1053"/>
      <c r="L224" s="164"/>
      <c r="M224" s="127"/>
    </row>
    <row r="225" spans="2:13" s="70" customFormat="1" ht="15" customHeight="1" x14ac:dyDescent="0.25">
      <c r="B225" s="1707"/>
      <c r="C225" s="668"/>
      <c r="D225" s="663" t="str">
        <f>'1.8 сварка'!G183</f>
        <v>Железа оксид</v>
      </c>
      <c r="E225" s="167" t="str">
        <f>'1.8 сварка'!H183</f>
        <v>0123</v>
      </c>
      <c r="F225" s="164"/>
      <c r="G225" s="127"/>
      <c r="H225" s="164">
        <f>'1.8 сварка'!J183</f>
        <v>2.5899999999999999E-2</v>
      </c>
      <c r="I225" s="127">
        <f>'1.8 сварка'!K183</f>
        <v>8.0000000000000002E-3</v>
      </c>
      <c r="J225" s="122"/>
      <c r="K225" s="1053"/>
      <c r="L225" s="164"/>
      <c r="M225" s="127"/>
    </row>
    <row r="226" spans="2:13" s="70" customFormat="1" ht="15" customHeight="1" x14ac:dyDescent="0.25">
      <c r="B226" s="1707"/>
      <c r="C226" s="668"/>
      <c r="D226" s="663" t="str">
        <f>'1.8 сварка'!G184</f>
        <v>Пыль неорг.с сод-м SiO2 70-20 %</v>
      </c>
      <c r="E226" s="167">
        <f>'1.8 сварка'!H184</f>
        <v>2908</v>
      </c>
      <c r="F226" s="164"/>
      <c r="G226" s="127"/>
      <c r="H226" s="164">
        <f>'1.8 сварка'!J184</f>
        <v>3.3999999999999998E-3</v>
      </c>
      <c r="I226" s="127">
        <f>'1.8 сварка'!K184</f>
        <v>1E-3</v>
      </c>
      <c r="J226" s="122"/>
      <c r="K226" s="1053"/>
      <c r="L226" s="164"/>
      <c r="M226" s="127"/>
    </row>
    <row r="227" spans="2:13" s="70" customFormat="1" ht="15" customHeight="1" x14ac:dyDescent="0.25">
      <c r="B227" s="1707"/>
      <c r="C227" s="668"/>
      <c r="D227" s="663" t="str">
        <f>'1.8 сварка'!G185</f>
        <v>Оксид углерода</v>
      </c>
      <c r="E227" s="167" t="str">
        <f>'1.8 сварка'!H185</f>
        <v>0337</v>
      </c>
      <c r="F227" s="164"/>
      <c r="G227" s="127"/>
      <c r="H227" s="164">
        <f>'1.8 сварка'!J185+'1.9сварка полиэтилена'!H54</f>
        <v>3.2301000000000003E-2</v>
      </c>
      <c r="I227" s="127">
        <f>'1.8 сварка'!K185+'1.9сварка полиэтилена'!I54</f>
        <v>1.000063E-2</v>
      </c>
      <c r="J227" s="122"/>
      <c r="K227" s="1053"/>
      <c r="L227" s="164"/>
      <c r="M227" s="127"/>
    </row>
    <row r="228" spans="2:13" s="70" customFormat="1" ht="15" customHeight="1" x14ac:dyDescent="0.25">
      <c r="B228" s="1707"/>
      <c r="C228" s="668"/>
      <c r="D228" s="663" t="str">
        <f>'1.9сварка полиэтилена'!F55</f>
        <v>Хлорэтилен /Винилхлорид/</v>
      </c>
      <c r="E228" s="668" t="str">
        <f>'1.9сварка полиэтилена'!G55</f>
        <v>0827</v>
      </c>
      <c r="F228" s="164"/>
      <c r="G228" s="127"/>
      <c r="H228" s="164">
        <f>'1.9сварка полиэтилена'!H55</f>
        <v>3.9999999999999998E-7</v>
      </c>
      <c r="I228" s="127">
        <f>'1.9сварка полиэтилена'!I55</f>
        <v>2.7000000000000001E-7</v>
      </c>
      <c r="J228" s="122"/>
      <c r="K228" s="1053"/>
      <c r="L228" s="164"/>
      <c r="M228" s="127"/>
    </row>
    <row r="229" spans="2:13" s="131" customFormat="1" ht="15" customHeight="1" x14ac:dyDescent="0.25">
      <c r="B229" s="1707"/>
      <c r="C229" s="626">
        <v>7070</v>
      </c>
      <c r="D229" s="627" t="str">
        <f>'1.13топливозаправщик'!K111</f>
        <v>Углеводороды предельные С12-С19</v>
      </c>
      <c r="E229" s="626">
        <f>'1.13топливозаправщик'!L111</f>
        <v>2754</v>
      </c>
      <c r="F229" s="629"/>
      <c r="G229" s="630"/>
      <c r="H229" s="629">
        <f>'1.13топливозаправщик'!N111</f>
        <v>6.3E-3</v>
      </c>
      <c r="I229" s="630">
        <f>'1.13топливозаправщик'!O111</f>
        <v>3.3E-4</v>
      </c>
      <c r="J229" s="631"/>
      <c r="K229" s="1058"/>
      <c r="L229" s="629"/>
      <c r="M229" s="630"/>
    </row>
    <row r="230" spans="2:13" s="131" customFormat="1" ht="15" customHeight="1" x14ac:dyDescent="0.25">
      <c r="B230" s="1708"/>
      <c r="C230" s="632"/>
      <c r="D230" s="633" t="str">
        <f>'1.13топливозаправщик'!K112</f>
        <v>Сероводород</v>
      </c>
      <c r="E230" s="648" t="str">
        <f>'1.13топливозаправщик'!L112</f>
        <v>0333</v>
      </c>
      <c r="F230" s="649"/>
      <c r="G230" s="636"/>
      <c r="H230" s="649">
        <f>'1.13топливозаправщик'!N112</f>
        <v>2.0000000000000002E-5</v>
      </c>
      <c r="I230" s="650">
        <f>'1.13топливозаправщик'!O112</f>
        <v>9.9999999999999995E-7</v>
      </c>
      <c r="J230" s="637"/>
      <c r="K230" s="1059"/>
      <c r="L230" s="635"/>
      <c r="M230" s="636"/>
    </row>
    <row r="231" spans="2:13" s="105" customFormat="1" ht="15" customHeight="1" x14ac:dyDescent="0.25">
      <c r="B231" s="1706" t="s">
        <v>261</v>
      </c>
      <c r="C231" s="670">
        <v>7071</v>
      </c>
      <c r="D231" s="652" t="str">
        <f>'1.2погрузка экскаватором'!M115</f>
        <v>Пыль неорг.с сод-м SiO2 70-20%</v>
      </c>
      <c r="E231" s="653">
        <f>'1.2погрузка экскаватором'!N115</f>
        <v>2908</v>
      </c>
      <c r="F231" s="646"/>
      <c r="G231" s="641"/>
      <c r="H231" s="646"/>
      <c r="I231" s="641"/>
      <c r="J231" s="654">
        <f>'1.2погрузка экскаватором'!O115+'1.3земляные работы'!Q287</f>
        <v>0.2165</v>
      </c>
      <c r="K231" s="1061">
        <f>'1.2погрузка экскаватором'!P115+'1.3земляные работы'!R287</f>
        <v>8.7550000000000003E-2</v>
      </c>
      <c r="L231" s="646"/>
      <c r="M231" s="641"/>
    </row>
    <row r="232" spans="2:13" s="105" customFormat="1" ht="15" customHeight="1" x14ac:dyDescent="0.25">
      <c r="B232" s="1707"/>
      <c r="C232" s="670">
        <v>7072</v>
      </c>
      <c r="D232" s="652" t="str">
        <f>'1.4 транспортирование'!R208</f>
        <v>Пыль неорг. с сод-м SiO2 70-20%</v>
      </c>
      <c r="E232" s="653">
        <f>'1.4 транспортирование'!S208</f>
        <v>2908</v>
      </c>
      <c r="F232" s="646"/>
      <c r="G232" s="641"/>
      <c r="H232" s="646"/>
      <c r="I232" s="641"/>
      <c r="J232" s="654">
        <f>'1.4 транспортирование'!T208</f>
        <v>1.8E-3</v>
      </c>
      <c r="K232" s="1061">
        <f>'1.4 транспортирование'!U208</f>
        <v>6.9999999999999999E-4</v>
      </c>
      <c r="L232" s="646"/>
      <c r="M232" s="641"/>
    </row>
    <row r="233" spans="2:13" s="105" customFormat="1" ht="15" customHeight="1" x14ac:dyDescent="0.25">
      <c r="B233" s="1707"/>
      <c r="C233" s="668">
        <v>7073</v>
      </c>
      <c r="D233" s="644" t="str">
        <f>'1.5пересыпка материалов'!N89</f>
        <v>Пыль неорг.с сод-м SiO2 70-20%</v>
      </c>
      <c r="E233" s="645" t="str">
        <f>'1.5пересыпка материалов'!O89</f>
        <v>2908</v>
      </c>
      <c r="F233" s="168"/>
      <c r="G233" s="641"/>
      <c r="H233" s="166"/>
      <c r="I233" s="167"/>
      <c r="J233" s="654">
        <f>'1.5пересыпка материалов'!Q89</f>
        <v>3.7000000000000002E-3</v>
      </c>
      <c r="K233" s="1061">
        <f>'1.5пересыпка материалов'!R89</f>
        <v>4.0000000000000003E-5</v>
      </c>
      <c r="L233" s="166"/>
      <c r="M233" s="167"/>
    </row>
    <row r="234" spans="2:13" s="70" customFormat="1" ht="15" customHeight="1" x14ac:dyDescent="0.25">
      <c r="B234" s="1707"/>
      <c r="C234" s="671">
        <v>7074</v>
      </c>
      <c r="D234" s="661" t="str">
        <f>'1.7покраска'!K387</f>
        <v>Ксилол</v>
      </c>
      <c r="E234" s="171" t="str">
        <f>'1.7покраска'!L387</f>
        <v>0616</v>
      </c>
      <c r="F234" s="164"/>
      <c r="G234" s="129"/>
      <c r="H234" s="130"/>
      <c r="I234" s="129"/>
      <c r="J234" s="121">
        <f>'1.7покраска'!M387</f>
        <v>0.15559999999999999</v>
      </c>
      <c r="K234" s="1056">
        <f>'1.7покраска'!N387</f>
        <v>0.108</v>
      </c>
      <c r="L234" s="130"/>
      <c r="M234" s="129"/>
    </row>
    <row r="235" spans="2:13" s="70" customFormat="1" ht="15" customHeight="1" x14ac:dyDescent="0.25">
      <c r="B235" s="1707"/>
      <c r="C235" s="668"/>
      <c r="D235" s="663" t="str">
        <f>'1.7покраска'!K388</f>
        <v>Ацетон</v>
      </c>
      <c r="E235" s="167" t="str">
        <f>'1.7покраска'!L388</f>
        <v>1401</v>
      </c>
      <c r="F235" s="164"/>
      <c r="G235" s="127"/>
      <c r="H235" s="164"/>
      <c r="I235" s="127"/>
      <c r="J235" s="122">
        <f>'1.7покраска'!M388</f>
        <v>3.2000000000000002E-3</v>
      </c>
      <c r="K235" s="1053">
        <f>'1.7покраска'!N388</f>
        <v>1.2999999999999999E-3</v>
      </c>
      <c r="L235" s="164"/>
      <c r="M235" s="127"/>
    </row>
    <row r="236" spans="2:13" s="70" customFormat="1" ht="15" customHeight="1" x14ac:dyDescent="0.25">
      <c r="B236" s="1707"/>
      <c r="C236" s="668"/>
      <c r="D236" s="663" t="str">
        <f>'1.7покраска'!K389</f>
        <v>Бутилацетат</v>
      </c>
      <c r="E236" s="167" t="str">
        <f>'1.7покраска'!L389</f>
        <v>1210</v>
      </c>
      <c r="F236" s="164"/>
      <c r="G236" s="127"/>
      <c r="H236" s="164"/>
      <c r="I236" s="127"/>
      <c r="J236" s="122">
        <f>'1.7покраска'!M389</f>
        <v>3.8899999999999997E-2</v>
      </c>
      <c r="K236" s="1053">
        <f>'1.7покраска'!N389</f>
        <v>2.6599999999999999E-2</v>
      </c>
      <c r="L236" s="164"/>
      <c r="M236" s="127"/>
    </row>
    <row r="237" spans="2:13" s="70" customFormat="1" ht="15" customHeight="1" x14ac:dyDescent="0.25">
      <c r="B237" s="1707"/>
      <c r="C237" s="668"/>
      <c r="D237" s="663" t="str">
        <f>'1.7покраска'!K390</f>
        <v>Этилцеллозольв</v>
      </c>
      <c r="E237" s="167" t="str">
        <f>'1.7покраска'!L390</f>
        <v>1119</v>
      </c>
      <c r="F237" s="164"/>
      <c r="G237" s="127"/>
      <c r="H237" s="164"/>
      <c r="I237" s="127"/>
      <c r="J237" s="123">
        <f>'1.7покраска'!M390</f>
        <v>3.2000000000000002E-3</v>
      </c>
      <c r="K237" s="1057">
        <f>'1.7покраска'!N390</f>
        <v>1.2999999999999999E-3</v>
      </c>
      <c r="L237" s="164"/>
      <c r="M237" s="127"/>
    </row>
    <row r="238" spans="2:13" s="70" customFormat="1" ht="15" customHeight="1" x14ac:dyDescent="0.25">
      <c r="B238" s="1707"/>
      <c r="C238" s="671">
        <v>7075</v>
      </c>
      <c r="D238" s="661" t="str">
        <f>'1.8 сварка'!G308</f>
        <v>Фтористые газ.соед</v>
      </c>
      <c r="E238" s="671" t="str">
        <f>'1.8 сварка'!H308</f>
        <v>0342</v>
      </c>
      <c r="F238" s="177"/>
      <c r="G238" s="171"/>
      <c r="H238" s="130"/>
      <c r="I238" s="129"/>
      <c r="J238" s="121">
        <f>'1.8 сварка'!J308</f>
        <v>1.1999999999999999E-3</v>
      </c>
      <c r="K238" s="1056">
        <f>'1.8 сварка'!K308</f>
        <v>2.5000000000000001E-3</v>
      </c>
      <c r="L238" s="130"/>
      <c r="M238" s="129"/>
    </row>
    <row r="239" spans="2:13" s="70" customFormat="1" ht="15" customHeight="1" x14ac:dyDescent="0.25">
      <c r="B239" s="1707"/>
      <c r="C239" s="668"/>
      <c r="D239" s="663" t="str">
        <f>'1.8 сварка'!G309</f>
        <v>Диоксид азота</v>
      </c>
      <c r="E239" s="668" t="str">
        <f>'1.8 сварка'!H309</f>
        <v>0301</v>
      </c>
      <c r="F239" s="178"/>
      <c r="G239" s="167"/>
      <c r="H239" s="164"/>
      <c r="I239" s="127"/>
      <c r="J239" s="122">
        <f>'1.8 сварка'!J309</f>
        <v>2.3999999999999998E-3</v>
      </c>
      <c r="K239" s="1053">
        <f>'1.8 сварка'!K309</f>
        <v>5.0000000000000001E-3</v>
      </c>
      <c r="L239" s="164"/>
      <c r="M239" s="127"/>
    </row>
    <row r="240" spans="2:13" s="70" customFormat="1" ht="15" customHeight="1" x14ac:dyDescent="0.25">
      <c r="B240" s="1707"/>
      <c r="C240" s="668"/>
      <c r="D240" s="663" t="str">
        <f>'1.8 сварка'!G310</f>
        <v>Марганец и его соед.</v>
      </c>
      <c r="E240" s="668" t="str">
        <f>'1.8 сварка'!H310</f>
        <v>0143</v>
      </c>
      <c r="F240" s="178"/>
      <c r="G240" s="167"/>
      <c r="H240" s="164"/>
      <c r="I240" s="127"/>
      <c r="J240" s="122">
        <f>'1.8 сварка'!J310</f>
        <v>1.5E-3</v>
      </c>
      <c r="K240" s="1053">
        <f>'1.8 сварка'!K310</f>
        <v>3.0000000000000001E-3</v>
      </c>
      <c r="L240" s="164"/>
      <c r="M240" s="127"/>
    </row>
    <row r="241" spans="2:13" s="70" customFormat="1" ht="15" customHeight="1" x14ac:dyDescent="0.25">
      <c r="B241" s="1707"/>
      <c r="C241" s="668"/>
      <c r="D241" s="663" t="str">
        <f>'1.8 сварка'!G311</f>
        <v>Фториды</v>
      </c>
      <c r="E241" s="668" t="str">
        <f>'1.8 сварка'!H311</f>
        <v>0344</v>
      </c>
      <c r="F241" s="178"/>
      <c r="G241" s="167"/>
      <c r="H241" s="164"/>
      <c r="I241" s="127"/>
      <c r="J241" s="122">
        <f>'1.8 сварка'!J311</f>
        <v>5.3E-3</v>
      </c>
      <c r="K241" s="1053">
        <f>'1.8 сварка'!K311</f>
        <v>1.09E-2</v>
      </c>
      <c r="L241" s="164"/>
      <c r="M241" s="127"/>
    </row>
    <row r="242" spans="2:13" s="70" customFormat="1" ht="15" customHeight="1" x14ac:dyDescent="0.25">
      <c r="B242" s="1707"/>
      <c r="C242" s="668"/>
      <c r="D242" s="663" t="str">
        <f>'1.8 сварка'!G312</f>
        <v>Железа оксид</v>
      </c>
      <c r="E242" s="668" t="str">
        <f>'1.8 сварка'!H312</f>
        <v>0123</v>
      </c>
      <c r="F242" s="178"/>
      <c r="G242" s="167"/>
      <c r="H242" s="164"/>
      <c r="I242" s="127"/>
      <c r="J242" s="122">
        <f>'1.8 сварка'!J312</f>
        <v>1.72E-2</v>
      </c>
      <c r="K242" s="1053">
        <f>'1.8 сварка'!K312</f>
        <v>3.5400000000000001E-2</v>
      </c>
      <c r="L242" s="164"/>
      <c r="M242" s="127"/>
    </row>
    <row r="243" spans="2:13" s="70" customFormat="1" ht="15" customHeight="1" x14ac:dyDescent="0.25">
      <c r="B243" s="1707"/>
      <c r="C243" s="668"/>
      <c r="D243" s="663" t="str">
        <f>'1.8 сварка'!G313</f>
        <v>Пыль неорг.с сод-м SiO2 70-20 %</v>
      </c>
      <c r="E243" s="668">
        <f>'1.8 сварка'!H313</f>
        <v>2908</v>
      </c>
      <c r="F243" s="178"/>
      <c r="G243" s="167"/>
      <c r="H243" s="164"/>
      <c r="I243" s="127"/>
      <c r="J243" s="122">
        <f>'1.8 сварка'!J313</f>
        <v>2.2000000000000001E-3</v>
      </c>
      <c r="K243" s="1053">
        <f>'1.8 сварка'!K313</f>
        <v>4.5999999999999999E-3</v>
      </c>
      <c r="L243" s="164"/>
      <c r="M243" s="127"/>
    </row>
    <row r="244" spans="2:13" s="70" customFormat="1" ht="15" customHeight="1" x14ac:dyDescent="0.25">
      <c r="B244" s="1707"/>
      <c r="C244" s="668"/>
      <c r="D244" s="663" t="str">
        <f>'1.8 сварка'!G314</f>
        <v>Оксид углерода</v>
      </c>
      <c r="E244" s="668" t="str">
        <f>'1.8 сварка'!H314</f>
        <v>0337</v>
      </c>
      <c r="F244" s="178"/>
      <c r="G244" s="167"/>
      <c r="H244" s="164"/>
      <c r="I244" s="127"/>
      <c r="J244" s="122">
        <f>'1.8 сварка'!J314+'1.9сварка полиэтилена'!H97</f>
        <v>2.1402999999999998E-2</v>
      </c>
      <c r="K244" s="1053">
        <f>'1.8 сварка'!K314+'1.9сварка полиэтилена'!I97</f>
        <v>4.400192E-2</v>
      </c>
      <c r="L244" s="164"/>
      <c r="M244" s="127"/>
    </row>
    <row r="245" spans="2:13" s="70" customFormat="1" ht="15" customHeight="1" x14ac:dyDescent="0.25">
      <c r="B245" s="1707"/>
      <c r="C245" s="660"/>
      <c r="D245" s="663" t="str">
        <f>'1.9сварка полиэтилена'!F98</f>
        <v>Хлорэтилен /Винилхлорид/</v>
      </c>
      <c r="E245" s="668" t="str">
        <f>'1.9сварка полиэтилена'!G98</f>
        <v>0827</v>
      </c>
      <c r="F245" s="178"/>
      <c r="G245" s="167"/>
      <c r="H245" s="164"/>
      <c r="I245" s="127"/>
      <c r="J245" s="123">
        <f>'1.9сварка полиэтилена'!H98</f>
        <v>1.3E-6</v>
      </c>
      <c r="K245" s="1057">
        <f>'1.9сварка полиэтилена'!I98</f>
        <v>8.2999999999999999E-7</v>
      </c>
      <c r="L245" s="165"/>
      <c r="M245" s="128"/>
    </row>
    <row r="246" spans="2:13" s="131" customFormat="1" ht="15" customHeight="1" x14ac:dyDescent="0.25">
      <c r="B246" s="1707"/>
      <c r="C246" s="626">
        <v>7076</v>
      </c>
      <c r="D246" s="627" t="str">
        <f>'1.13топливозаправщик'!K160</f>
        <v>Углеводороды предельные С12-С19</v>
      </c>
      <c r="E246" s="630">
        <f>'1.13топливозаправщик'!L160</f>
        <v>2754</v>
      </c>
      <c r="F246" s="629"/>
      <c r="G246" s="630"/>
      <c r="H246" s="629"/>
      <c r="I246" s="630"/>
      <c r="J246" s="631">
        <f>'1.13топливозаправщик'!N160</f>
        <v>6.3E-3</v>
      </c>
      <c r="K246" s="1058">
        <f>'1.13топливозаправщик'!O160</f>
        <v>4.8999999999999998E-4</v>
      </c>
      <c r="L246" s="629"/>
      <c r="M246" s="630"/>
    </row>
    <row r="247" spans="2:13" s="131" customFormat="1" ht="15" customHeight="1" x14ac:dyDescent="0.25">
      <c r="B247" s="1708"/>
      <c r="C247" s="632"/>
      <c r="D247" s="633" t="str">
        <f>'1.13топливозаправщик'!K161</f>
        <v>Сероводород</v>
      </c>
      <c r="E247" s="648" t="str">
        <f>'1.13топливозаправщик'!L161</f>
        <v>0333</v>
      </c>
      <c r="F247" s="649"/>
      <c r="G247" s="636"/>
      <c r="H247" s="649"/>
      <c r="I247" s="650"/>
      <c r="J247" s="677">
        <f>'1.13топливозаправщик'!N161</f>
        <v>2.0000000000000002E-5</v>
      </c>
      <c r="K247" s="1059">
        <f>'1.13топливозаправщик'!O161</f>
        <v>9.9999999999999995E-7</v>
      </c>
      <c r="L247" s="635"/>
      <c r="M247" s="636"/>
    </row>
    <row r="248" spans="2:13" s="105" customFormat="1" ht="15" customHeight="1" x14ac:dyDescent="0.25">
      <c r="B248" s="1706" t="s">
        <v>264</v>
      </c>
      <c r="C248" s="670">
        <v>7077</v>
      </c>
      <c r="D248" s="652" t="str">
        <f>'1.2погрузка экскаватором'!M53</f>
        <v>Пыль неорг.с сод-м SiO2 70-20%</v>
      </c>
      <c r="E248" s="653">
        <f>'1.2погрузка экскаватором'!N53</f>
        <v>2908</v>
      </c>
      <c r="F248" s="646">
        <f>'1.1 снятие ТГ бульдозер'!O46+'1.2погрузка экскаватором'!O53+'1.3земляные работы'!Q89</f>
        <v>0.33330000000000004</v>
      </c>
      <c r="G248" s="641">
        <f>'1.1 снятие ТГ бульдозер'!P46+'1.2погрузка экскаватором'!P53+'1.3земляные работы'!R89</f>
        <v>0.23614999999999997</v>
      </c>
      <c r="H248" s="646">
        <f>'1.3земляные работы'!Q191</f>
        <v>2.92E-2</v>
      </c>
      <c r="I248" s="641">
        <f>'1.3земляные работы'!R191</f>
        <v>9.3518000000000018E-2</v>
      </c>
      <c r="J248" s="654">
        <f>'1.3земляные работы'!Q293</f>
        <v>7.3000000000000001E-3</v>
      </c>
      <c r="K248" s="1061">
        <f>'1.3земляные работы'!R293</f>
        <v>1.8E-3</v>
      </c>
      <c r="L248" s="646">
        <f>'1.3земляные работы'!Q326</f>
        <v>7.3000000000000001E-3</v>
      </c>
      <c r="M248" s="641">
        <f>'1.3земляные работы'!R326</f>
        <v>3.0000000000000003E-4</v>
      </c>
    </row>
    <row r="249" spans="2:13" s="105" customFormat="1" ht="15" customHeight="1" x14ac:dyDescent="0.25">
      <c r="B249" s="1707"/>
      <c r="C249" s="670">
        <v>7078</v>
      </c>
      <c r="D249" s="652" t="str">
        <f>'1.4 транспортирование'!R69</f>
        <v>Пыль неорг. с сод-м SiO2 70-20%</v>
      </c>
      <c r="E249" s="653">
        <f>'1.4 транспортирование'!S69</f>
        <v>2908</v>
      </c>
      <c r="F249" s="654">
        <f>'1.4 транспортирование'!T69</f>
        <v>3.3999999999999998E-3</v>
      </c>
      <c r="G249" s="653">
        <f>'1.4 транспортирование'!U69</f>
        <v>1.4999999999999998E-3</v>
      </c>
      <c r="H249" s="646">
        <f>'1.4 транспортирование'!T143</f>
        <v>1.5E-3</v>
      </c>
      <c r="I249" s="641">
        <f>'1.4 транспортирование'!U143</f>
        <v>3.0000000000000004E-5</v>
      </c>
      <c r="J249" s="654">
        <f>'1.4 транспортирование'!T210</f>
        <v>8.0000000000000004E-4</v>
      </c>
      <c r="K249" s="1064">
        <f>'1.4 транспортирование'!U210</f>
        <v>1.0000000000000001E-5</v>
      </c>
      <c r="L249" s="646"/>
      <c r="M249" s="641"/>
    </row>
    <row r="250" spans="2:13" s="105" customFormat="1" ht="15" customHeight="1" x14ac:dyDescent="0.25">
      <c r="B250" s="1707"/>
      <c r="C250" s="671">
        <v>7079</v>
      </c>
      <c r="D250" s="674" t="str">
        <f>'1.6укладка асфальтобетона'!F28</f>
        <v>Углеводороды  предельные С12-С19</v>
      </c>
      <c r="E250" s="662" t="str">
        <f>'1.6укладка асфальтобетона'!G28</f>
        <v>2754</v>
      </c>
      <c r="F250" s="170">
        <f>'1.6укладка асфальтобетона'!H28</f>
        <v>0.40279999999999999</v>
      </c>
      <c r="G250" s="171">
        <f>'1.6укладка асфальтобетона'!I28</f>
        <v>5.8000000000000003E-2</v>
      </c>
      <c r="H250" s="170"/>
      <c r="I250" s="171"/>
      <c r="J250" s="177"/>
      <c r="K250" s="1063"/>
      <c r="L250" s="170"/>
      <c r="M250" s="171"/>
    </row>
    <row r="251" spans="2:13" s="105" customFormat="1" ht="15" customHeight="1" x14ac:dyDescent="0.25">
      <c r="B251" s="1707"/>
      <c r="C251" s="668"/>
      <c r="D251" s="644" t="str">
        <f>'1.5пересыпка материалов'!N105</f>
        <v>Пыль неорг.с сод-м SiO2 70-20%</v>
      </c>
      <c r="E251" s="721" t="str">
        <f>'1.5пересыпка материалов'!O105</f>
        <v>2908</v>
      </c>
      <c r="F251" s="166">
        <f>'1.5пересыпка материалов'!Q105</f>
        <v>8.0000000000000004E-4</v>
      </c>
      <c r="G251" s="169">
        <f>'1.5пересыпка материалов'!R105</f>
        <v>3.47E-3</v>
      </c>
      <c r="H251" s="166"/>
      <c r="I251" s="167"/>
      <c r="J251" s="178"/>
      <c r="K251" s="1065"/>
      <c r="L251" s="166"/>
      <c r="M251" s="167"/>
    </row>
    <row r="252" spans="2:13" s="70" customFormat="1" ht="15" customHeight="1" x14ac:dyDescent="0.25">
      <c r="B252" s="1707"/>
      <c r="C252" s="671">
        <v>7080</v>
      </c>
      <c r="D252" s="661" t="str">
        <f>'1.7покраска'!K82</f>
        <v>Ксилол</v>
      </c>
      <c r="E252" s="171" t="str">
        <f>'1.7покраска'!L82</f>
        <v>0616</v>
      </c>
      <c r="F252" s="121">
        <f>'1.7покраска'!M82</f>
        <v>7.7799999999999994E-2</v>
      </c>
      <c r="G252" s="129">
        <f>'1.7покраска'!N82</f>
        <v>1.12E-2</v>
      </c>
      <c r="H252" s="130">
        <f>'1.7покраска'!M197</f>
        <v>6.25E-2</v>
      </c>
      <c r="I252" s="129">
        <f>'1.7покраска'!N197</f>
        <v>1.9230000000000001E-2</v>
      </c>
      <c r="J252" s="121"/>
      <c r="K252" s="1056"/>
      <c r="L252" s="130"/>
      <c r="M252" s="129"/>
    </row>
    <row r="253" spans="2:13" s="70" customFormat="1" ht="15" customHeight="1" x14ac:dyDescent="0.25">
      <c r="B253" s="1707"/>
      <c r="C253" s="668"/>
      <c r="D253" s="663" t="str">
        <f>'1.7покраска'!K83</f>
        <v>Бутиловый спирт</v>
      </c>
      <c r="E253" s="167" t="str">
        <f>'1.7покраска'!L83</f>
        <v>1042</v>
      </c>
      <c r="F253" s="122">
        <f>'1.7покраска'!M83</f>
        <v>8.9999999999999993E-3</v>
      </c>
      <c r="G253" s="127">
        <f>'1.7покраска'!N83</f>
        <v>1.2999999999999999E-4</v>
      </c>
      <c r="H253" s="164"/>
      <c r="I253" s="127"/>
      <c r="J253" s="122"/>
      <c r="K253" s="1053"/>
      <c r="L253" s="164"/>
      <c r="M253" s="127"/>
    </row>
    <row r="254" spans="2:13" s="70" customFormat="1" ht="15" customHeight="1" x14ac:dyDescent="0.25">
      <c r="B254" s="1707"/>
      <c r="C254" s="668"/>
      <c r="D254" s="663" t="str">
        <f>'1.7покраска'!K84</f>
        <v>Этиловый спирт</v>
      </c>
      <c r="E254" s="167" t="str">
        <f>'1.7покраска'!L84</f>
        <v>1061</v>
      </c>
      <c r="F254" s="122">
        <f>'1.7покраска'!M84</f>
        <v>1.8E-3</v>
      </c>
      <c r="G254" s="127">
        <f>'1.7покраска'!N84</f>
        <v>1E-4</v>
      </c>
      <c r="H254" s="164"/>
      <c r="I254" s="127"/>
      <c r="J254" s="122"/>
      <c r="K254" s="1053"/>
      <c r="L254" s="164"/>
      <c r="M254" s="127"/>
    </row>
    <row r="255" spans="2:13" s="70" customFormat="1" ht="15" customHeight="1" x14ac:dyDescent="0.25">
      <c r="B255" s="1707"/>
      <c r="C255" s="668"/>
      <c r="D255" s="663" t="str">
        <f>'1.7покраска'!K85</f>
        <v>Бутилацетат</v>
      </c>
      <c r="E255" s="167" t="str">
        <f>'1.7покраска'!L85</f>
        <v>1210</v>
      </c>
      <c r="F255" s="122">
        <f>'1.7покраска'!M85</f>
        <v>1.9400000000000001E-2</v>
      </c>
      <c r="G255" s="127">
        <f>'1.7покраска'!N85</f>
        <v>3.0999999999999999E-3</v>
      </c>
      <c r="H255" s="164">
        <f>'1.7покраска'!M199</f>
        <v>2.3E-3</v>
      </c>
      <c r="I255" s="127">
        <f>'1.7покраска'!N199</f>
        <v>1.3999999999999999E-4</v>
      </c>
      <c r="J255" s="122"/>
      <c r="K255" s="1053"/>
      <c r="L255" s="164"/>
      <c r="M255" s="127"/>
    </row>
    <row r="256" spans="2:13" s="70" customFormat="1" ht="15" customHeight="1" x14ac:dyDescent="0.25">
      <c r="B256" s="1707"/>
      <c r="C256" s="668"/>
      <c r="D256" s="663" t="str">
        <f>'1.7покраска'!K86</f>
        <v>Толуол</v>
      </c>
      <c r="E256" s="167" t="str">
        <f>'1.7покраска'!L86</f>
        <v>0621</v>
      </c>
      <c r="F256" s="122">
        <f>'1.7покраска'!M86</f>
        <v>3.5999999999999999E-3</v>
      </c>
      <c r="G256" s="127">
        <f>'1.7покраска'!N86</f>
        <v>1E-4</v>
      </c>
      <c r="H256" s="164">
        <f>'1.7покраска'!M201</f>
        <v>6.7000000000000002E-3</v>
      </c>
      <c r="I256" s="127">
        <f>'1.7покраска'!N201</f>
        <v>4.0999999999999999E-4</v>
      </c>
      <c r="J256" s="122"/>
      <c r="K256" s="1053"/>
      <c r="L256" s="164"/>
      <c r="M256" s="127"/>
    </row>
    <row r="257" spans="2:13" s="70" customFormat="1" ht="15" customHeight="1" x14ac:dyDescent="0.25">
      <c r="B257" s="1707"/>
      <c r="C257" s="668"/>
      <c r="D257" s="663" t="str">
        <f>'1.7покраска'!K196</f>
        <v>Уайт-спирит</v>
      </c>
      <c r="E257" s="668" t="str">
        <f>'1.7покраска'!L196</f>
        <v>2752</v>
      </c>
      <c r="F257" s="164"/>
      <c r="G257" s="127"/>
      <c r="H257" s="164">
        <f>'1.7покраска'!M196</f>
        <v>3.1300000000000001E-2</v>
      </c>
      <c r="I257" s="127">
        <f>'1.7покраска'!N196</f>
        <v>1.712E-2</v>
      </c>
      <c r="J257" s="122"/>
      <c r="K257" s="1053"/>
      <c r="L257" s="164"/>
      <c r="M257" s="127"/>
    </row>
    <row r="258" spans="2:13" s="70" customFormat="1" ht="15" customHeight="1" x14ac:dyDescent="0.25">
      <c r="B258" s="1707"/>
      <c r="C258" s="668"/>
      <c r="D258" s="663" t="str">
        <f>'1.7покраска'!K198</f>
        <v>Ацетон</v>
      </c>
      <c r="E258" s="668" t="str">
        <f>'1.7покраска'!L198</f>
        <v>1401</v>
      </c>
      <c r="F258" s="164"/>
      <c r="G258" s="127"/>
      <c r="H258" s="164">
        <f>'1.7покраска'!M198</f>
        <v>2.0999999999999999E-3</v>
      </c>
      <c r="I258" s="127">
        <f>'1.7покраска'!N198</f>
        <v>2.9999999999999997E-4</v>
      </c>
      <c r="J258" s="122"/>
      <c r="K258" s="1053"/>
      <c r="L258" s="164"/>
      <c r="M258" s="127"/>
    </row>
    <row r="259" spans="2:13" s="70" customFormat="1" ht="15" customHeight="1" x14ac:dyDescent="0.25">
      <c r="B259" s="1707"/>
      <c r="C259" s="668"/>
      <c r="D259" s="663" t="str">
        <f>'1.7покраска'!K200</f>
        <v>Циклогексанон</v>
      </c>
      <c r="E259" s="668" t="str">
        <f>'1.7покраска'!L200</f>
        <v>1411</v>
      </c>
      <c r="F259" s="165"/>
      <c r="G259" s="128"/>
      <c r="H259" s="164">
        <f>'1.7покраска'!M200</f>
        <v>2.8E-3</v>
      </c>
      <c r="I259" s="127">
        <f>'1.7покраска'!N200</f>
        <v>1.7000000000000001E-4</v>
      </c>
      <c r="J259" s="122"/>
      <c r="K259" s="1053"/>
      <c r="L259" s="164"/>
      <c r="M259" s="127"/>
    </row>
    <row r="260" spans="2:13" s="70" customFormat="1" ht="15" customHeight="1" x14ac:dyDescent="0.25">
      <c r="B260" s="1707"/>
      <c r="C260" s="671">
        <v>7081</v>
      </c>
      <c r="D260" s="661" t="str">
        <f>'1.8 сварка'!G74</f>
        <v>Фтористые газ.соед</v>
      </c>
      <c r="E260" s="171" t="str">
        <f>'1.8 сварка'!H74</f>
        <v>0342</v>
      </c>
      <c r="F260" s="166">
        <f>'1.8 сварка'!J74</f>
        <v>6.4999999999999997E-3</v>
      </c>
      <c r="G260" s="167">
        <f>'1.8 сварка'!K74</f>
        <v>1.34E-2</v>
      </c>
      <c r="H260" s="130">
        <f>'1.8 сварка'!J187</f>
        <v>2.8999999999999998E-3</v>
      </c>
      <c r="I260" s="129">
        <f>'1.8 сварка'!K187</f>
        <v>6.0000000000000001E-3</v>
      </c>
      <c r="J260" s="121">
        <f>'1.8 сварка'!J316</f>
        <v>2.0999999999999999E-3</v>
      </c>
      <c r="K260" s="1056">
        <f>'1.8 сварка'!K316</f>
        <v>2.2000000000000001E-3</v>
      </c>
      <c r="L260" s="130">
        <f>'1.8 сварка'!J373</f>
        <v>6.9999999999999999E-4</v>
      </c>
      <c r="M260" s="129">
        <f>'1.8 сварка'!K373</f>
        <v>6.9999999999999999E-4</v>
      </c>
    </row>
    <row r="261" spans="2:13" s="70" customFormat="1" ht="15" customHeight="1" x14ac:dyDescent="0.25">
      <c r="B261" s="1707"/>
      <c r="C261" s="668"/>
      <c r="D261" s="663" t="str">
        <f>'1.8 сварка'!G75</f>
        <v>Диоксид азота</v>
      </c>
      <c r="E261" s="167" t="str">
        <f>'1.8 сварка'!H75</f>
        <v>0301</v>
      </c>
      <c r="F261" s="166">
        <f>'1.8 сварка'!J75</f>
        <v>1.2999999999999999E-2</v>
      </c>
      <c r="G261" s="167">
        <f>'1.8 сварка'!K75</f>
        <v>2.6800000000000001E-2</v>
      </c>
      <c r="H261" s="164">
        <f>'1.8 сварка'!J188</f>
        <v>5.7999999999999996E-3</v>
      </c>
      <c r="I261" s="127">
        <f>'1.8 сварка'!K188</f>
        <v>1.2E-2</v>
      </c>
      <c r="J261" s="122">
        <f>'1.8 сварка'!J317</f>
        <v>4.3E-3</v>
      </c>
      <c r="K261" s="1053">
        <f>'1.8 сварка'!K317</f>
        <v>4.4000000000000003E-3</v>
      </c>
      <c r="L261" s="164">
        <f>'1.8 сварка'!J374</f>
        <v>1.4E-3</v>
      </c>
      <c r="M261" s="127">
        <f>'1.8 сварка'!K374</f>
        <v>1.5E-3</v>
      </c>
    </row>
    <row r="262" spans="2:13" s="70" customFormat="1" ht="15" customHeight="1" x14ac:dyDescent="0.25">
      <c r="B262" s="1707"/>
      <c r="C262" s="668"/>
      <c r="D262" s="663" t="str">
        <f>'1.8 сварка'!G76</f>
        <v>Марганец и его соед.</v>
      </c>
      <c r="E262" s="167" t="str">
        <f>'1.8 сварка'!H76</f>
        <v>0143</v>
      </c>
      <c r="F262" s="166">
        <f>'1.8 сварка'!J76</f>
        <v>8.0000000000000002E-3</v>
      </c>
      <c r="G262" s="167">
        <f>'1.8 сварка'!K76</f>
        <v>1.6400000000000001E-2</v>
      </c>
      <c r="H262" s="164">
        <f>'1.8 сварка'!J189</f>
        <v>3.5999999999999999E-3</v>
      </c>
      <c r="I262" s="127">
        <f>'1.8 сварка'!K189</f>
        <v>7.4000000000000003E-3</v>
      </c>
      <c r="J262" s="122">
        <f>'1.8 сварка'!J318</f>
        <v>2.5999999999999999E-3</v>
      </c>
      <c r="K262" s="1053">
        <f>'1.8 сварка'!K318</f>
        <v>2.7000000000000001E-3</v>
      </c>
      <c r="L262" s="164">
        <f>'1.8 сварка'!J375</f>
        <v>8.9999999999999998E-4</v>
      </c>
      <c r="M262" s="127">
        <f>'1.8 сварка'!K375</f>
        <v>8.9999999999999998E-4</v>
      </c>
    </row>
    <row r="263" spans="2:13" s="70" customFormat="1" ht="15" customHeight="1" x14ac:dyDescent="0.25">
      <c r="B263" s="1707"/>
      <c r="C263" s="668"/>
      <c r="D263" s="663" t="str">
        <f>'1.8 сварка'!G77</f>
        <v>Фториды</v>
      </c>
      <c r="E263" s="167" t="str">
        <f>'1.8 сварка'!H77</f>
        <v>0344</v>
      </c>
      <c r="F263" s="166">
        <f>'1.8 сварка'!J77</f>
        <v>2.86E-2</v>
      </c>
      <c r="G263" s="167">
        <f>'1.8 сварка'!K77</f>
        <v>5.8900000000000001E-2</v>
      </c>
      <c r="H263" s="164">
        <f>'1.8 сварка'!J190</f>
        <v>1.29E-2</v>
      </c>
      <c r="I263" s="127">
        <f>'1.8 сварка'!K190</f>
        <v>2.6499999999999999E-2</v>
      </c>
      <c r="J263" s="122">
        <f>'1.8 сварка'!J319</f>
        <v>9.4000000000000004E-3</v>
      </c>
      <c r="K263" s="1053">
        <f>'1.8 сварка'!K319</f>
        <v>9.7000000000000003E-3</v>
      </c>
      <c r="L263" s="164">
        <f>'1.8 сварка'!J376</f>
        <v>3.0999999999999999E-3</v>
      </c>
      <c r="M263" s="127">
        <f>'1.8 сварка'!K376</f>
        <v>3.2000000000000002E-3</v>
      </c>
    </row>
    <row r="264" spans="2:13" s="70" customFormat="1" ht="15" customHeight="1" x14ac:dyDescent="0.25">
      <c r="B264" s="1707"/>
      <c r="C264" s="668"/>
      <c r="D264" s="663" t="str">
        <f>'1.8 сварка'!G78</f>
        <v>Железа оксид</v>
      </c>
      <c r="E264" s="167" t="str">
        <f>'1.8 сварка'!H78</f>
        <v>0123</v>
      </c>
      <c r="F264" s="166">
        <f>'1.8 сварка'!J78</f>
        <v>9.2600000000000002E-2</v>
      </c>
      <c r="G264" s="167">
        <f>'1.8 сварка'!K78</f>
        <v>0.1908</v>
      </c>
      <c r="H264" s="164">
        <f>'1.8 сварка'!J191</f>
        <v>4.1700000000000001E-2</v>
      </c>
      <c r="I264" s="127">
        <f>'1.8 сварка'!K191</f>
        <v>8.5800000000000001E-2</v>
      </c>
      <c r="J264" s="122">
        <f>'1.8 сварка'!J320</f>
        <v>3.04E-2</v>
      </c>
      <c r="K264" s="1053">
        <f>'1.8 сварка'!K320</f>
        <v>3.1300000000000001E-2</v>
      </c>
      <c r="L264" s="164">
        <f>'1.8 сварка'!J377</f>
        <v>0.01</v>
      </c>
      <c r="M264" s="127">
        <f>'1.8 сварка'!K377</f>
        <v>1.03E-2</v>
      </c>
    </row>
    <row r="265" spans="2:13" s="70" customFormat="1" ht="15" customHeight="1" x14ac:dyDescent="0.25">
      <c r="B265" s="1707"/>
      <c r="C265" s="668"/>
      <c r="D265" s="663" t="str">
        <f>'1.8 сварка'!G79</f>
        <v>Пыль неорг.с сод-м SiO2 70-20 %</v>
      </c>
      <c r="E265" s="167">
        <f>'1.8 сварка'!H79</f>
        <v>2908</v>
      </c>
      <c r="F265" s="166">
        <f>'1.8 сварка'!J79</f>
        <v>1.21E-2</v>
      </c>
      <c r="G265" s="167">
        <f>'1.8 сварка'!K79</f>
        <v>2.5000000000000001E-2</v>
      </c>
      <c r="H265" s="164">
        <f>'1.8 сварка'!J192</f>
        <v>5.4999999999999997E-3</v>
      </c>
      <c r="I265" s="127">
        <f>'1.8 сварка'!K192</f>
        <v>1.12E-2</v>
      </c>
      <c r="J265" s="122">
        <f>'1.8 сварка'!J321</f>
        <v>4.0000000000000001E-3</v>
      </c>
      <c r="K265" s="1053">
        <f>'1.8 сварка'!K321</f>
        <v>4.1000000000000003E-3</v>
      </c>
      <c r="L265" s="164">
        <f>'1.8 сварка'!J378</f>
        <v>1.2999999999999999E-3</v>
      </c>
      <c r="M265" s="127">
        <f>'1.8 сварка'!K378</f>
        <v>1.4E-3</v>
      </c>
    </row>
    <row r="266" spans="2:13" s="70" customFormat="1" ht="15" customHeight="1" x14ac:dyDescent="0.25">
      <c r="B266" s="1707"/>
      <c r="C266" s="668"/>
      <c r="D266" s="663" t="str">
        <f>'1.8 сварка'!G80</f>
        <v>Оксид углерода</v>
      </c>
      <c r="E266" s="167" t="str">
        <f>'1.8 сварка'!H80</f>
        <v>0337</v>
      </c>
      <c r="F266" s="166">
        <f>'1.8 сварка'!J80+'1.9сварка полиэтилена'!H28</f>
        <v>0.11530269999999999</v>
      </c>
      <c r="G266" s="645">
        <f>'1.8 сварка'!K80+'1.9сварка полиэтилена'!I28</f>
        <v>0.23730344</v>
      </c>
      <c r="H266" s="164">
        <f>'1.8 сварка'!J193+'1.9сварка полиэтилена'!H57</f>
        <v>5.18174E-2</v>
      </c>
      <c r="I266" s="127">
        <f>'1.8 сварка'!K193+'1.9сварка полиэтилена'!I57</f>
        <v>0.10671809</v>
      </c>
      <c r="J266" s="122">
        <f>'1.8 сварка'!J322</f>
        <v>3.78E-2</v>
      </c>
      <c r="K266" s="1053">
        <f>'1.8 сварка'!K322</f>
        <v>3.8899999999999997E-2</v>
      </c>
      <c r="L266" s="164">
        <f>'1.8 сварка'!J379</f>
        <v>1.2500000000000001E-2</v>
      </c>
      <c r="M266" s="127">
        <f>'1.8 сварка'!K379</f>
        <v>1.29E-2</v>
      </c>
    </row>
    <row r="267" spans="2:13" s="70" customFormat="1" ht="15" customHeight="1" x14ac:dyDescent="0.25">
      <c r="B267" s="1707"/>
      <c r="C267" s="660"/>
      <c r="D267" s="664" t="str">
        <f>'1.9сварка полиэтилена'!F29</f>
        <v>Хлорэтилен /Винилхлорид/</v>
      </c>
      <c r="E267" s="660" t="str">
        <f>'1.9сварка полиэтилена'!G29</f>
        <v>0827</v>
      </c>
      <c r="F267" s="179">
        <f>'1.9сварка полиэтилена'!H29</f>
        <v>1.1000000000000001E-6</v>
      </c>
      <c r="G267" s="660">
        <f>'1.9сварка полиэтилена'!I29</f>
        <v>1.4899999999999999E-6</v>
      </c>
      <c r="H267" s="165">
        <f>'1.9сварка полиэтилена'!H58</f>
        <v>7.6000000000000001E-6</v>
      </c>
      <c r="I267" s="128">
        <f>'1.9сварка полиэтилена'!I58</f>
        <v>7.8399999999999995E-6</v>
      </c>
      <c r="J267" s="122"/>
      <c r="K267" s="1057"/>
      <c r="L267" s="165"/>
      <c r="M267" s="128"/>
    </row>
    <row r="268" spans="2:13" s="137" customFormat="1" ht="15" customHeight="1" x14ac:dyDescent="0.25">
      <c r="B268" s="1707"/>
      <c r="C268" s="626">
        <v>7083</v>
      </c>
      <c r="D268" s="627" t="str">
        <f>'1.13топливозаправщик'!K65</f>
        <v>Углеводороды предельные С12-С19</v>
      </c>
      <c r="E268" s="630">
        <f>'1.13топливозаправщик'!L65</f>
        <v>2754</v>
      </c>
      <c r="F268" s="629">
        <f>'1.13топливозаправщик'!N65</f>
        <v>6.3E-3</v>
      </c>
      <c r="G268" s="630">
        <f>'1.13топливозаправщик'!O65</f>
        <v>1.2999999999999999E-3</v>
      </c>
      <c r="H268" s="629">
        <f>'1.13топливозаправщик'!N114</f>
        <v>6.3E-3</v>
      </c>
      <c r="I268" s="630">
        <f>'1.13топливозаправщик'!O114</f>
        <v>1.67E-3</v>
      </c>
      <c r="J268" s="631">
        <f>'1.13топливозаправщик'!N163</f>
        <v>6.3E-3</v>
      </c>
      <c r="K268" s="1058">
        <f>'1.13топливозаправщик'!O163</f>
        <v>1.6000000000000001E-4</v>
      </c>
      <c r="L268" s="629">
        <f>'1.13топливозаправщик'!N188</f>
        <v>6.3E-3</v>
      </c>
      <c r="M268" s="630">
        <f>'1.13топливозаправщик'!O188</f>
        <v>1.2E-4</v>
      </c>
    </row>
    <row r="269" spans="2:13" s="137" customFormat="1" ht="15" customHeight="1" x14ac:dyDescent="0.25">
      <c r="B269" s="1708"/>
      <c r="C269" s="675"/>
      <c r="D269" s="633" t="str">
        <f>'1.13топливозаправщик'!K66</f>
        <v>Сероводород</v>
      </c>
      <c r="E269" s="648" t="str">
        <f>'1.13топливозаправщик'!L66</f>
        <v>0333</v>
      </c>
      <c r="F269" s="649">
        <f>'1.13топливозаправщик'!N66</f>
        <v>2.0000000000000002E-5</v>
      </c>
      <c r="G269" s="636">
        <f>'1.13топливозаправщик'!O66</f>
        <v>3.9999999999999998E-6</v>
      </c>
      <c r="H269" s="649">
        <f>'1.13топливозаправщик'!N115</f>
        <v>2.0000000000000002E-5</v>
      </c>
      <c r="I269" s="650">
        <f>'1.13топливозаправщик'!O115</f>
        <v>5.0000000000000004E-6</v>
      </c>
      <c r="J269" s="677">
        <f>'1.13топливозаправщик'!N164</f>
        <v>2.0000000000000002E-5</v>
      </c>
      <c r="K269" s="1059">
        <f>'1.13топливозаправщик'!O164</f>
        <v>4.9999999999999998E-7</v>
      </c>
      <c r="L269" s="649">
        <f>'1.13топливозаправщик'!N189</f>
        <v>2.0000000000000002E-5</v>
      </c>
      <c r="M269" s="650">
        <f>'1.13топливозаправщик'!O189</f>
        <v>2.9999999999999999E-7</v>
      </c>
    </row>
    <row r="270" spans="2:13" s="105" customFormat="1" ht="15" customHeight="1" x14ac:dyDescent="0.25">
      <c r="B270" s="1706" t="s">
        <v>276</v>
      </c>
      <c r="C270" s="670">
        <v>7084</v>
      </c>
      <c r="D270" s="652" t="str">
        <f>'1.1 снятие ТГ бульдозер'!M50</f>
        <v>Пыль неорг.с сод-м SiO2 70-20%</v>
      </c>
      <c r="E270" s="653">
        <f>'1.1 снятие ТГ бульдозер'!N50</f>
        <v>2908</v>
      </c>
      <c r="F270" s="646">
        <f>'1.1 снятие ТГ бульдозер'!O50+'1.2погрузка экскаватором'!O57+'1.3земляные работы'!Q106</f>
        <v>0.34790000000000004</v>
      </c>
      <c r="G270" s="641">
        <f>'1.1 снятие ТГ бульдозер'!P50+'1.2погрузка экскаватором'!P57+'1.3земляные работы'!R106</f>
        <v>0.59333000000000002</v>
      </c>
      <c r="H270" s="646">
        <f>'1.3земляные работы'!Q202</f>
        <v>4.3799999999999999E-2</v>
      </c>
      <c r="I270" s="641">
        <f>'1.3земляные работы'!R202</f>
        <v>0.26170399999999999</v>
      </c>
      <c r="J270" s="654">
        <f>'1.3земляные работы'!Q298</f>
        <v>1.46E-2</v>
      </c>
      <c r="K270" s="1061">
        <f>'1.3земляные работы'!R298</f>
        <v>5.1999999999999998E-3</v>
      </c>
      <c r="L270" s="646">
        <f>'1.3земляные работы'!Q331</f>
        <v>7.3000000000000001E-3</v>
      </c>
      <c r="M270" s="641">
        <f>'1.3земляные работы'!R331</f>
        <v>1.23E-2</v>
      </c>
    </row>
    <row r="271" spans="2:13" s="659" customFormat="1" ht="15" customHeight="1" x14ac:dyDescent="0.25">
      <c r="B271" s="1707"/>
      <c r="C271" s="670">
        <v>7085</v>
      </c>
      <c r="D271" s="652" t="str">
        <f>'1.4 транспортирование'!R79</f>
        <v>Пыль неорг. с сод-м SiO2 70-20%</v>
      </c>
      <c r="E271" s="653">
        <f>'1.4 транспортирование'!S79</f>
        <v>2908</v>
      </c>
      <c r="F271" s="654">
        <f>'1.4 транспортирование'!T79</f>
        <v>1.37E-2</v>
      </c>
      <c r="G271" s="653">
        <f>'1.4 транспортирование'!U79</f>
        <v>1.4069999999999999E-2</v>
      </c>
      <c r="H271" s="646">
        <f>'1.4 транспортирование'!T151</f>
        <v>1.37E-2</v>
      </c>
      <c r="I271" s="641">
        <f>'1.4 транспортирование'!U151</f>
        <v>8.8199999999999997E-3</v>
      </c>
      <c r="J271" s="654"/>
      <c r="K271" s="1061"/>
      <c r="L271" s="646"/>
      <c r="M271" s="641"/>
    </row>
    <row r="272" spans="2:13" s="70" customFormat="1" ht="15" customHeight="1" x14ac:dyDescent="0.25">
      <c r="B272" s="1707"/>
      <c r="C272" s="671">
        <v>7086</v>
      </c>
      <c r="D272" s="661" t="str">
        <f>'1.7покраска'!K90</f>
        <v>Углеводороды предельные С12-С19</v>
      </c>
      <c r="E272" s="662" t="str">
        <f>'1.7покраска'!L90</f>
        <v>2754</v>
      </c>
      <c r="F272" s="654">
        <f>'1.7покраска'!M90</f>
        <v>6.25E-2</v>
      </c>
      <c r="G272" s="641">
        <f>'1.7покраска'!N90</f>
        <v>0.30159999999999998</v>
      </c>
      <c r="H272" s="130">
        <f>'1.7покраска'!M205</f>
        <v>0.125</v>
      </c>
      <c r="I272" s="129">
        <f>'1.7покраска'!N205</f>
        <v>0.13500000000000001</v>
      </c>
      <c r="J272" s="121">
        <f>'1.7покраска'!M394</f>
        <v>6.25E-2</v>
      </c>
      <c r="K272" s="1056">
        <f>'1.7покраска'!N394</f>
        <v>0.20699999999999999</v>
      </c>
      <c r="L272" s="130"/>
      <c r="M272" s="129"/>
    </row>
    <row r="273" spans="2:13" ht="15" customHeight="1" x14ac:dyDescent="0.25">
      <c r="B273" s="1707"/>
      <c r="C273" s="671">
        <v>7087</v>
      </c>
      <c r="D273" s="661" t="str">
        <f>'1.8 сварка'!G82</f>
        <v>Фтористые газ.соед</v>
      </c>
      <c r="E273" s="171" t="str">
        <f>'1.8 сварка'!H82</f>
        <v>0342</v>
      </c>
      <c r="F273" s="166">
        <f>'1.8 сварка'!J82</f>
        <v>2.8999999999999998E-3</v>
      </c>
      <c r="G273" s="171">
        <f>'1.8 сварка'!K82</f>
        <v>1.21E-2</v>
      </c>
      <c r="H273" s="130">
        <f>'1.8 сварка'!J195</f>
        <v>1.9E-3</v>
      </c>
      <c r="I273" s="129">
        <f>'1.8 сварка'!K195</f>
        <v>3.0000000000000001E-3</v>
      </c>
      <c r="J273" s="121">
        <f>'1.8 сварка'!J324</f>
        <v>2.07E-2</v>
      </c>
      <c r="K273" s="1056">
        <f>'1.8 сварка'!K324</f>
        <v>4.3E-3</v>
      </c>
      <c r="L273" s="130"/>
      <c r="M273" s="129"/>
    </row>
    <row r="274" spans="2:13" ht="15" customHeight="1" x14ac:dyDescent="0.25">
      <c r="B274" s="1707"/>
      <c r="C274" s="668"/>
      <c r="D274" s="663" t="str">
        <f>'1.8 сварка'!G83</f>
        <v>Диоксид азота</v>
      </c>
      <c r="E274" s="167" t="str">
        <f>'1.8 сварка'!H83</f>
        <v>0301</v>
      </c>
      <c r="F274" s="166">
        <f>'1.8 сварка'!J83</f>
        <v>5.8999999999999999E-3</v>
      </c>
      <c r="G274" s="167">
        <f>'1.8 сварка'!K83</f>
        <v>2.4199999999999999E-2</v>
      </c>
      <c r="H274" s="164">
        <f>'1.8 сварка'!J196</f>
        <v>3.8E-3</v>
      </c>
      <c r="I274" s="127">
        <f>'1.8 сварка'!K196</f>
        <v>5.8999999999999999E-3</v>
      </c>
      <c r="J274" s="122">
        <f>'1.8 сварка'!J325</f>
        <v>4.1399999999999999E-2</v>
      </c>
      <c r="K274" s="1053">
        <f>'1.8 сварка'!K325</f>
        <v>8.5000000000000006E-3</v>
      </c>
      <c r="L274" s="164"/>
      <c r="M274" s="127"/>
    </row>
    <row r="275" spans="2:13" ht="15" customHeight="1" x14ac:dyDescent="0.25">
      <c r="B275" s="1707"/>
      <c r="C275" s="668"/>
      <c r="D275" s="663" t="str">
        <f>'1.8 сварка'!G84</f>
        <v>Марганец и его соед.</v>
      </c>
      <c r="E275" s="167" t="str">
        <f>'1.8 сварка'!H84</f>
        <v>0143</v>
      </c>
      <c r="F275" s="166">
        <f>'1.8 сварка'!J84</f>
        <v>3.5999999999999999E-3</v>
      </c>
      <c r="G275" s="167">
        <f>'1.8 сварка'!K84</f>
        <v>1.4800000000000001E-2</v>
      </c>
      <c r="H275" s="164">
        <f>'1.8 сварка'!J197</f>
        <v>2.3999999999999998E-3</v>
      </c>
      <c r="I275" s="127">
        <f>'1.8 сварка'!K197</f>
        <v>3.5999999999999999E-3</v>
      </c>
      <c r="J275" s="122">
        <f>'1.8 сварка'!J326</f>
        <v>2.5399999999999999E-2</v>
      </c>
      <c r="K275" s="1053">
        <f>'1.8 сварка'!K326</f>
        <v>5.1999999999999998E-3</v>
      </c>
      <c r="L275" s="164"/>
      <c r="M275" s="127"/>
    </row>
    <row r="276" spans="2:13" ht="15" customHeight="1" x14ac:dyDescent="0.25">
      <c r="B276" s="1707"/>
      <c r="C276" s="668"/>
      <c r="D276" s="663" t="str">
        <f>'1.8 сварка'!G85</f>
        <v>Фториды</v>
      </c>
      <c r="E276" s="167" t="str">
        <f>'1.8 сварка'!H85</f>
        <v>0344</v>
      </c>
      <c r="F276" s="166">
        <f>'1.8 сварка'!J85</f>
        <v>1.29E-2</v>
      </c>
      <c r="G276" s="167">
        <f>'1.8 сварка'!K85</f>
        <v>5.33E-2</v>
      </c>
      <c r="H276" s="164">
        <f>'1.8 сварка'!J198</f>
        <v>8.5000000000000006E-3</v>
      </c>
      <c r="I276" s="127">
        <f>'1.8 сварка'!K198</f>
        <v>1.3100000000000001E-2</v>
      </c>
      <c r="J276" s="122">
        <f>'1.8 сварка'!J327</f>
        <v>9.1200000000000003E-2</v>
      </c>
      <c r="K276" s="1053">
        <f>'1.8 сварка'!K327</f>
        <v>1.8800000000000001E-2</v>
      </c>
      <c r="L276" s="164"/>
      <c r="M276" s="127"/>
    </row>
    <row r="277" spans="2:13" ht="15" customHeight="1" x14ac:dyDescent="0.25">
      <c r="B277" s="1707"/>
      <c r="C277" s="668"/>
      <c r="D277" s="663" t="str">
        <f>'1.8 сварка'!G86</f>
        <v>Железа оксид</v>
      </c>
      <c r="E277" s="167" t="str">
        <f>'1.8 сварка'!H86</f>
        <v>0123</v>
      </c>
      <c r="F277" s="166">
        <f>'1.8 сварка'!J86</f>
        <v>4.19E-2</v>
      </c>
      <c r="G277" s="167">
        <f>'1.8 сварка'!K86</f>
        <v>0.17249999999999999</v>
      </c>
      <c r="H277" s="164">
        <f>'1.8 сварка'!J199</f>
        <v>2.7400000000000001E-2</v>
      </c>
      <c r="I277" s="127">
        <f>'1.8 сварка'!K199</f>
        <v>4.2299999999999997E-2</v>
      </c>
      <c r="J277" s="122">
        <f>'1.8 сварка'!J328</f>
        <v>0.29530000000000001</v>
      </c>
      <c r="K277" s="1053">
        <f>'1.8 сварка'!K328</f>
        <v>6.08E-2</v>
      </c>
      <c r="L277" s="164"/>
      <c r="M277" s="127"/>
    </row>
    <row r="278" spans="2:13" ht="15" customHeight="1" x14ac:dyDescent="0.25">
      <c r="B278" s="1707"/>
      <c r="C278" s="668"/>
      <c r="D278" s="663" t="str">
        <f>'1.8 сварка'!G87</f>
        <v>Пыль неорг.с сод-м SiO2 70-20 %</v>
      </c>
      <c r="E278" s="167">
        <f>'1.8 сварка'!H87</f>
        <v>2908</v>
      </c>
      <c r="F278" s="166">
        <f>'1.8 сварка'!J87</f>
        <v>5.4999999999999997E-3</v>
      </c>
      <c r="G278" s="167">
        <f>'1.8 сварка'!K87</f>
        <v>2.2599999999999999E-2</v>
      </c>
      <c r="H278" s="164">
        <f>'1.8 сварка'!J200</f>
        <v>3.5999999999999999E-3</v>
      </c>
      <c r="I278" s="127">
        <f>'1.8 сварка'!K200</f>
        <v>5.4999999999999997E-3</v>
      </c>
      <c r="J278" s="122">
        <f>'1.8 сварка'!J329</f>
        <v>3.8699999999999998E-2</v>
      </c>
      <c r="K278" s="1053">
        <f>'1.8 сварка'!K329</f>
        <v>8.0000000000000002E-3</v>
      </c>
      <c r="L278" s="164"/>
      <c r="M278" s="127"/>
    </row>
    <row r="279" spans="2:13" ht="15" customHeight="1" x14ac:dyDescent="0.25">
      <c r="B279" s="1707"/>
      <c r="C279" s="668"/>
      <c r="D279" s="663" t="str">
        <f>'1.8 сварка'!G88</f>
        <v>Оксид углерода</v>
      </c>
      <c r="E279" s="167" t="str">
        <f>'1.8 сварка'!H88</f>
        <v>0337</v>
      </c>
      <c r="F279" s="166">
        <f>'1.8 сварка'!J88+'1.9сварка полиэтилена'!H35</f>
        <v>5.2105400000000003E-2</v>
      </c>
      <c r="G279" s="167">
        <f>'1.8 сварка'!K88+'1.9сварка полиэтилена'!I35</f>
        <v>0.21460874000000002</v>
      </c>
      <c r="H279" s="164">
        <f>'1.8 сварка'!J201+'1.9сварка полиэтилена'!H60</f>
        <v>3.4103099999999997E-2</v>
      </c>
      <c r="I279" s="127">
        <f>'1.8 сварка'!K201+'1.9сварка полиэтилена'!I60</f>
        <v>5.2600090000000002E-2</v>
      </c>
      <c r="J279" s="122">
        <f>'1.8 сварка'!J330</f>
        <v>0.3674</v>
      </c>
      <c r="K279" s="1053">
        <f>'1.8 сварка'!K330</f>
        <v>7.5600000000000001E-2</v>
      </c>
      <c r="L279" s="164">
        <f>'1.9сварка полиэтилена'!H110</f>
        <v>8.9999999999999999E-8</v>
      </c>
      <c r="M279" s="127">
        <f>'1.9сварка полиэтилена'!I110</f>
        <v>3.3999999999999997E-7</v>
      </c>
    </row>
    <row r="280" spans="2:13" ht="15" customHeight="1" x14ac:dyDescent="0.25">
      <c r="B280" s="1707"/>
      <c r="C280" s="660"/>
      <c r="D280" s="664" t="str">
        <f>'1.9сварка полиэтилена'!F36</f>
        <v>Хлорэтилен /Винилхлорид/</v>
      </c>
      <c r="E280" s="660" t="str">
        <f>'1.9сварка полиэтилена'!G36</f>
        <v>0827</v>
      </c>
      <c r="F280" s="168">
        <f>'1.9сварка полиэтилена'!H36</f>
        <v>2.3999999999999999E-6</v>
      </c>
      <c r="G280" s="169">
        <f>'1.9сварка полиэтилена'!I36</f>
        <v>3.7899999999999997E-6</v>
      </c>
      <c r="H280" s="165">
        <f>'1.9сварка полиэтилена'!H61</f>
        <v>1.3999999999999999E-6</v>
      </c>
      <c r="I280" s="128">
        <f>'1.9сварка полиэтилена'!I61</f>
        <v>4.0000000000000001E-8</v>
      </c>
      <c r="J280" s="122"/>
      <c r="K280" s="1057"/>
      <c r="L280" s="164">
        <f>'1.9сварка полиэтилена'!H111</f>
        <v>4.0000000000000001E-8</v>
      </c>
      <c r="M280" s="127">
        <f>'1.9сварка полиэтилена'!I111</f>
        <v>1.4999999999999999E-7</v>
      </c>
    </row>
    <row r="281" spans="2:13" s="137" customFormat="1" ht="15" customHeight="1" x14ac:dyDescent="0.25">
      <c r="B281" s="1707"/>
      <c r="C281" s="626">
        <v>7088</v>
      </c>
      <c r="D281" s="627" t="str">
        <f>'1.13топливозаправщик'!K68</f>
        <v>Углеводороды предельные С12-С19</v>
      </c>
      <c r="E281" s="626">
        <f>'1.13топливозаправщик'!L68</f>
        <v>2754</v>
      </c>
      <c r="F281" s="629">
        <f>'1.13топливозаправщик'!N68</f>
        <v>6.3E-3</v>
      </c>
      <c r="G281" s="630">
        <f>'1.13топливозаправщик'!O68</f>
        <v>1.41E-3</v>
      </c>
      <c r="H281" s="629">
        <f>'1.13топливозаправщик'!N117</f>
        <v>6.3E-3</v>
      </c>
      <c r="I281" s="630">
        <f>'1.13топливозаправщик'!O117</f>
        <v>6.9999999999999999E-4</v>
      </c>
      <c r="J281" s="631">
        <f>'1.13топливозаправщик'!N166</f>
        <v>6.3E-3</v>
      </c>
      <c r="K281" s="1058">
        <f>'1.13топливозаправщик'!O166</f>
        <v>6.8000000000000005E-4</v>
      </c>
      <c r="L281" s="629">
        <f>'1.13топливозаправщик'!N191</f>
        <v>6.3E-3</v>
      </c>
      <c r="M281" s="630">
        <f>'1.13топливозаправщик'!O191</f>
        <v>4.6999999999999999E-4</v>
      </c>
    </row>
    <row r="282" spans="2:13" s="137" customFormat="1" ht="15" customHeight="1" x14ac:dyDescent="0.25">
      <c r="B282" s="1708"/>
      <c r="C282" s="675"/>
      <c r="D282" s="633" t="str">
        <f>'1.13топливозаправщик'!K69</f>
        <v>Сероводород</v>
      </c>
      <c r="E282" s="648" t="str">
        <f>'1.13топливозаправщик'!L69</f>
        <v>0333</v>
      </c>
      <c r="F282" s="635">
        <f>'1.13топливозаправщик'!N69</f>
        <v>2.0000000000000002E-5</v>
      </c>
      <c r="G282" s="636">
        <f>'1.13топливозаправщик'!O69</f>
        <v>3.9999999999999998E-6</v>
      </c>
      <c r="H282" s="649">
        <f>'1.13топливозаправщик'!N118</f>
        <v>2.0000000000000002E-5</v>
      </c>
      <c r="I282" s="650">
        <f>'1.13топливозаправщик'!O118</f>
        <v>1.9999999999999999E-6</v>
      </c>
      <c r="J282" s="677">
        <f>'1.13топливозаправщик'!N167</f>
        <v>2.0000000000000002E-5</v>
      </c>
      <c r="K282" s="1062">
        <f>'1.13топливозаправщик'!O167</f>
        <v>1.9999999999999999E-6</v>
      </c>
      <c r="L282" s="649">
        <f>'1.13топливозаправщик'!N192</f>
        <v>2.0000000000000002E-5</v>
      </c>
      <c r="M282" s="650">
        <f>'1.13топливозаправщик'!O192</f>
        <v>9.9999999999999995E-7</v>
      </c>
    </row>
    <row r="283" spans="2:13" s="659" customFormat="1" ht="15" customHeight="1" x14ac:dyDescent="0.25">
      <c r="B283" s="1706" t="s">
        <v>913</v>
      </c>
      <c r="C283" s="670">
        <v>7089</v>
      </c>
      <c r="D283" s="652" t="str">
        <f>'1.1 снятие ТГ бульдозер'!M54</f>
        <v>Пыль неорг.с сод-м SiO2 70-20%</v>
      </c>
      <c r="E283" s="653">
        <f>'1.1 снятие ТГ бульдозер'!N54</f>
        <v>2908</v>
      </c>
      <c r="F283" s="646">
        <f>'1.1 снятие ТГ бульдозер'!O54+'1.2погрузка экскаватором'!O61+'1.3земляные работы'!Q118</f>
        <v>0.31140000000000001</v>
      </c>
      <c r="G283" s="641">
        <f>'1.1 снятие ТГ бульдозер'!P54+'1.2погрузка экскаватором'!P61+'1.3земляные работы'!R118</f>
        <v>4.3899999999999995E-2</v>
      </c>
      <c r="H283" s="646">
        <f>'1.3земляные работы'!Q209</f>
        <v>2.8999999999999998E-3</v>
      </c>
      <c r="I283" s="641">
        <f>'1.3земляные работы'!R209</f>
        <v>3.9099999999999994E-3</v>
      </c>
      <c r="J283" s="654"/>
      <c r="K283" s="1061"/>
      <c r="L283" s="646"/>
      <c r="M283" s="641"/>
    </row>
    <row r="284" spans="2:13" s="659" customFormat="1" ht="15" customHeight="1" x14ac:dyDescent="0.25">
      <c r="B284" s="1707"/>
      <c r="C284" s="670">
        <v>7090</v>
      </c>
      <c r="D284" s="652" t="str">
        <f>'1.4 транспортирование'!R86</f>
        <v>Пыль неорг. с сод-м SiO2 70-20%</v>
      </c>
      <c r="E284" s="653">
        <f>'1.4 транспортирование'!S86</f>
        <v>2908</v>
      </c>
      <c r="F284" s="654">
        <f>'1.4 транспортирование'!T86</f>
        <v>3.0000000000000001E-3</v>
      </c>
      <c r="G284" s="641">
        <f>'1.4 транспортирование'!U86</f>
        <v>1.0299999999999999E-3</v>
      </c>
      <c r="H284" s="646">
        <f>'1.4 транспортирование'!T157</f>
        <v>3.5999999999999999E-3</v>
      </c>
      <c r="I284" s="641">
        <f>'1.4 транспортирование'!U157</f>
        <v>1.6000000000000001E-4</v>
      </c>
      <c r="J284" s="654"/>
      <c r="K284" s="1061"/>
      <c r="L284" s="646"/>
      <c r="M284" s="641"/>
    </row>
    <row r="285" spans="2:13" ht="15" customHeight="1" x14ac:dyDescent="0.25">
      <c r="B285" s="1707"/>
      <c r="C285" s="671">
        <v>7091</v>
      </c>
      <c r="D285" s="661" t="str">
        <f>'1.6укладка асфальтобетона'!F30</f>
        <v>Углеводороды  предельные С12-С19</v>
      </c>
      <c r="E285" s="662" t="str">
        <f>'1.6укладка асфальтобетона'!G30</f>
        <v>2754</v>
      </c>
      <c r="F285" s="170">
        <f>'1.6укладка асфальтобетона'!H30</f>
        <v>0.38890000000000002</v>
      </c>
      <c r="G285" s="171">
        <f>'1.6укладка асфальтобетона'!I30</f>
        <v>5.6000000000000001E-2</v>
      </c>
      <c r="H285" s="130"/>
      <c r="I285" s="129"/>
      <c r="J285" s="121"/>
      <c r="K285" s="1056"/>
      <c r="L285" s="130"/>
      <c r="M285" s="129"/>
    </row>
    <row r="286" spans="2:13" s="659" customFormat="1" ht="15" customHeight="1" x14ac:dyDescent="0.25">
      <c r="B286" s="1707"/>
      <c r="C286" s="716"/>
      <c r="D286" s="644" t="str">
        <f>'1.5пересыпка материалов'!N110</f>
        <v>Пыль неорг.с сод-м SiO2 70-20%</v>
      </c>
      <c r="E286" s="645" t="str">
        <f>'1.5пересыпка материалов'!O110</f>
        <v>2908</v>
      </c>
      <c r="F286" s="166">
        <f>'1.5пересыпка материалов'!Q110</f>
        <v>8.0000000000000004E-4</v>
      </c>
      <c r="G286" s="169">
        <f>'1.5пересыпка материалов'!R110</f>
        <v>1.4599999999999999E-3</v>
      </c>
      <c r="H286" s="166"/>
      <c r="I286" s="167"/>
      <c r="J286" s="178"/>
      <c r="K286" s="1065"/>
      <c r="L286" s="166"/>
      <c r="M286" s="167"/>
    </row>
    <row r="287" spans="2:13" ht="15" customHeight="1" x14ac:dyDescent="0.25">
      <c r="B287" s="1707"/>
      <c r="C287" s="670">
        <v>7092</v>
      </c>
      <c r="D287" s="676" t="str">
        <f>'1.5пересыпка материалов'!N42</f>
        <v>Пыль неорг.с сод-м SiO2 70-20%</v>
      </c>
      <c r="E287" s="670" t="str">
        <f>'1.5пересыпка материалов'!O42</f>
        <v>2908</v>
      </c>
      <c r="F287" s="646">
        <f>'1.5пересыпка материалов'!Q42</f>
        <v>3.73E-2</v>
      </c>
      <c r="G287" s="641">
        <f>'1.5пересыпка материалов'!R42</f>
        <v>1.2E-2</v>
      </c>
      <c r="H287" s="623">
        <f>'1.5пересыпка материалов'!Q61</f>
        <v>3.73E-2</v>
      </c>
      <c r="I287" s="624">
        <f>'1.5пересыпка материалов'!R61</f>
        <v>2.7E-2</v>
      </c>
      <c r="J287" s="625"/>
      <c r="K287" s="1055"/>
      <c r="L287" s="623"/>
      <c r="M287" s="624"/>
    </row>
    <row r="288" spans="2:13" ht="15" customHeight="1" x14ac:dyDescent="0.25">
      <c r="B288" s="1707"/>
      <c r="C288" s="668">
        <v>7093</v>
      </c>
      <c r="D288" s="663" t="str">
        <f>'1.7покраска'!K99</f>
        <v>Бутилацетат</v>
      </c>
      <c r="E288" s="645">
        <f>'1.7покраска'!L99</f>
        <v>1210</v>
      </c>
      <c r="F288" s="177">
        <f>'1.7покраска'!M99</f>
        <v>8.9599999999999999E-2</v>
      </c>
      <c r="G288" s="171">
        <f>'1.7покраска'!N99</f>
        <v>0.1032</v>
      </c>
      <c r="H288" s="164">
        <f>'1.7покраска'!M218</f>
        <v>0.1</v>
      </c>
      <c r="I288" s="127">
        <f>'1.7покраска'!N218</f>
        <v>8.1800000000000012E-2</v>
      </c>
      <c r="J288" s="122">
        <f>'1.7покраска'!M403</f>
        <v>8.9599999999999999E-2</v>
      </c>
      <c r="K288" s="1056">
        <f>'1.7покраска'!N403</f>
        <v>5.3E-3</v>
      </c>
      <c r="L288" s="164"/>
      <c r="M288" s="127"/>
    </row>
    <row r="289" spans="2:13" ht="15" customHeight="1" x14ac:dyDescent="0.25">
      <c r="B289" s="1707"/>
      <c r="C289" s="668"/>
      <c r="D289" s="663" t="str">
        <f>'1.7покраска'!K100</f>
        <v>Бутиловый спирт</v>
      </c>
      <c r="E289" s="645" t="str">
        <f>'1.7покраска'!L100</f>
        <v>1042</v>
      </c>
      <c r="F289" s="178">
        <f>'1.7покраска'!M100</f>
        <v>8.9599999999999999E-2</v>
      </c>
      <c r="G289" s="167">
        <f>'1.7покраска'!N100</f>
        <v>4.129E-2</v>
      </c>
      <c r="H289" s="164">
        <f>'1.7покраска'!M219</f>
        <v>0.1</v>
      </c>
      <c r="I289" s="127">
        <f>'1.7покраска'!N219</f>
        <v>3.2730000000000002E-2</v>
      </c>
      <c r="J289" s="122">
        <f>'1.7покраска'!M404</f>
        <v>8.9599999999999999E-2</v>
      </c>
      <c r="K289" s="1053">
        <f>'1.7покраска'!N404</f>
        <v>2.1299999999999999E-3</v>
      </c>
      <c r="L289" s="164"/>
      <c r="M289" s="127"/>
    </row>
    <row r="290" spans="2:13" ht="15" customHeight="1" x14ac:dyDescent="0.25">
      <c r="B290" s="1707"/>
      <c r="C290" s="668"/>
      <c r="D290" s="663" t="str">
        <f>'1.7покраска'!K101</f>
        <v>Этиловый спирт</v>
      </c>
      <c r="E290" s="645" t="str">
        <f>'1.7покраска'!L101</f>
        <v>1061</v>
      </c>
      <c r="F290" s="178">
        <f>'1.7покраска'!M101</f>
        <v>1.7899999999999999E-2</v>
      </c>
      <c r="G290" s="167">
        <f>'1.7покраска'!N101</f>
        <v>2.06E-2</v>
      </c>
      <c r="H290" s="164">
        <f>'1.7покраска'!M220</f>
        <v>0.02</v>
      </c>
      <c r="I290" s="127">
        <f>'1.7покраска'!N220</f>
        <v>1.6300000000000002E-2</v>
      </c>
      <c r="J290" s="122">
        <f>'1.7покраска'!M405</f>
        <v>1.7899999999999999E-2</v>
      </c>
      <c r="K290" s="1053">
        <f>'1.7покраска'!N405</f>
        <v>1.1000000000000001E-3</v>
      </c>
      <c r="L290" s="164"/>
      <c r="M290" s="127"/>
    </row>
    <row r="291" spans="2:13" ht="15" customHeight="1" x14ac:dyDescent="0.25">
      <c r="B291" s="1707"/>
      <c r="C291" s="668"/>
      <c r="D291" s="663" t="str">
        <f>'1.7покраска'!K102</f>
        <v>Толуол</v>
      </c>
      <c r="E291" s="645" t="str">
        <f>'1.7покраска'!L102</f>
        <v>0621</v>
      </c>
      <c r="F291" s="178">
        <f>'1.7покраска'!M102</f>
        <v>3.5799999999999998E-2</v>
      </c>
      <c r="G291" s="167">
        <f>'1.7покраска'!N102</f>
        <v>4.1300000000000003E-2</v>
      </c>
      <c r="H291" s="164">
        <f>'1.7покраска'!M221</f>
        <v>0.04</v>
      </c>
      <c r="I291" s="127">
        <f>'1.7покраска'!N221</f>
        <v>3.2799999999999996E-2</v>
      </c>
      <c r="J291" s="122">
        <f>'1.7покраска'!M406</f>
        <v>3.5799999999999998E-2</v>
      </c>
      <c r="K291" s="1053">
        <f>'1.7покраска'!N406</f>
        <v>2.0999999999999999E-3</v>
      </c>
      <c r="L291" s="164"/>
      <c r="M291" s="127"/>
    </row>
    <row r="292" spans="2:13" ht="15" customHeight="1" x14ac:dyDescent="0.25">
      <c r="B292" s="1707"/>
      <c r="C292" s="668"/>
      <c r="D292" s="663" t="str">
        <f>'1.7покраска'!K103</f>
        <v>Ксилол</v>
      </c>
      <c r="E292" s="645" t="str">
        <f>'1.7покраска'!L103</f>
        <v>0616</v>
      </c>
      <c r="F292" s="178">
        <f>'1.7покраска'!M103</f>
        <v>6.25E-2</v>
      </c>
      <c r="G292" s="167">
        <f>'1.7покраска'!N103</f>
        <v>5.5039999999999999E-2</v>
      </c>
      <c r="H292" s="164">
        <f>'1.7покраска'!M222</f>
        <v>6.25E-2</v>
      </c>
      <c r="I292" s="127">
        <f>'1.7покраска'!N222</f>
        <v>3.2399999999999998E-2</v>
      </c>
      <c r="J292" s="122">
        <f>'1.7покраска'!M407</f>
        <v>6.25E-2</v>
      </c>
      <c r="K292" s="1053">
        <f>'1.7покраска'!N407</f>
        <v>7.1999999999999998E-3</v>
      </c>
      <c r="L292" s="164"/>
      <c r="M292" s="127"/>
    </row>
    <row r="293" spans="2:13" ht="15" customHeight="1" x14ac:dyDescent="0.25">
      <c r="B293" s="1707"/>
      <c r="C293" s="668"/>
      <c r="D293" s="663" t="str">
        <f>'1.7покраска'!K104</f>
        <v>Уайт-спирит</v>
      </c>
      <c r="E293" s="645" t="str">
        <f>'1.7покраска'!L104</f>
        <v>2752</v>
      </c>
      <c r="F293" s="179">
        <f>'1.7покраска'!M104</f>
        <v>3.1300000000000001E-2</v>
      </c>
      <c r="G293" s="169">
        <f>'1.7покраска'!N104</f>
        <v>1.9400000000000001E-2</v>
      </c>
      <c r="H293" s="164">
        <f>'1.7покраска'!M223</f>
        <v>6.25E-2</v>
      </c>
      <c r="I293" s="127">
        <f>'1.7покраска'!N223</f>
        <v>1.6199999999999999E-2</v>
      </c>
      <c r="J293" s="122">
        <f>'1.7покраска'!M408</f>
        <v>3.1300000000000001E-2</v>
      </c>
      <c r="K293" s="1053">
        <f>'1.7покраска'!N408</f>
        <v>3.5999999999999999E-3</v>
      </c>
      <c r="L293" s="164"/>
      <c r="M293" s="127"/>
    </row>
    <row r="294" spans="2:13" ht="15" customHeight="1" x14ac:dyDescent="0.25">
      <c r="B294" s="1707"/>
      <c r="C294" s="671">
        <v>7094</v>
      </c>
      <c r="D294" s="661" t="str">
        <f>'1.8 сварка'!G90</f>
        <v>Фтористые газ.соед</v>
      </c>
      <c r="E294" s="171" t="str">
        <f>'1.8 сварка'!H90</f>
        <v>0342</v>
      </c>
      <c r="F294" s="166">
        <f>'1.8 сварка'!J90</f>
        <v>2.0000000000000001E-4</v>
      </c>
      <c r="G294" s="167">
        <f>'1.8 сварка'!K90</f>
        <v>6.9999999999999999E-4</v>
      </c>
      <c r="H294" s="130">
        <f>'1.8 сварка'!J203</f>
        <v>2E-3</v>
      </c>
      <c r="I294" s="129">
        <f>'1.8 сварка'!K203</f>
        <v>0.01</v>
      </c>
      <c r="J294" s="121">
        <f>'1.8 сварка'!J332</f>
        <v>1E-4</v>
      </c>
      <c r="K294" s="1056">
        <f>'1.8 сварка'!K332</f>
        <v>4.0000000000000003E-5</v>
      </c>
      <c r="L294" s="130"/>
      <c r="M294" s="129"/>
    </row>
    <row r="295" spans="2:13" ht="15" customHeight="1" x14ac:dyDescent="0.25">
      <c r="B295" s="1707"/>
      <c r="C295" s="668"/>
      <c r="D295" s="663" t="str">
        <f>'1.8 сварка'!G91</f>
        <v>Диоксид азота</v>
      </c>
      <c r="E295" s="167" t="str">
        <f>'1.8 сварка'!H91</f>
        <v>0301</v>
      </c>
      <c r="F295" s="166">
        <f>'1.8 сварка'!J91</f>
        <v>4.0000000000000002E-4</v>
      </c>
      <c r="G295" s="167">
        <f>'1.8 сварка'!K91</f>
        <v>1.5E-3</v>
      </c>
      <c r="H295" s="164">
        <f>'1.8 сварка'!J204</f>
        <v>3.8999999999999998E-3</v>
      </c>
      <c r="I295" s="127">
        <f>'1.8 сварка'!K204</f>
        <v>2.01E-2</v>
      </c>
      <c r="J295" s="122">
        <f>'1.8 сварка'!J333</f>
        <v>1E-4</v>
      </c>
      <c r="K295" s="1053">
        <f>'1.8 сварка'!K333</f>
        <v>1E-4</v>
      </c>
      <c r="L295" s="164"/>
      <c r="M295" s="127"/>
    </row>
    <row r="296" spans="2:13" ht="15" customHeight="1" x14ac:dyDescent="0.25">
      <c r="B296" s="1707"/>
      <c r="C296" s="668"/>
      <c r="D296" s="663" t="str">
        <f>'1.8 сварка'!G92</f>
        <v>Марганец и его соед.</v>
      </c>
      <c r="E296" s="167" t="str">
        <f>'1.8 сварка'!H92</f>
        <v>0143</v>
      </c>
      <c r="F296" s="166">
        <f>'1.8 сварка'!J92</f>
        <v>2.0000000000000001E-4</v>
      </c>
      <c r="G296" s="167">
        <f>'1.8 сварка'!K92</f>
        <v>8.9999999999999998E-4</v>
      </c>
      <c r="H296" s="164">
        <f>'1.8 сварка'!J205</f>
        <v>2.3999999999999998E-3</v>
      </c>
      <c r="I296" s="127">
        <f>'1.8 сварка'!K205</f>
        <v>1.23E-2</v>
      </c>
      <c r="J296" s="122">
        <f>'1.8 сварка'!J334</f>
        <v>1E-4</v>
      </c>
      <c r="K296" s="1053">
        <f>'1.8 сварка'!K334</f>
        <v>4.0000000000000003E-5</v>
      </c>
      <c r="L296" s="164"/>
      <c r="M296" s="127"/>
    </row>
    <row r="297" spans="2:13" ht="15" customHeight="1" x14ac:dyDescent="0.25">
      <c r="B297" s="1707"/>
      <c r="C297" s="668"/>
      <c r="D297" s="663" t="str">
        <f>'1.8 сварка'!G93</f>
        <v>Фториды</v>
      </c>
      <c r="E297" s="167" t="str">
        <f>'1.8 сварка'!H93</f>
        <v>0344</v>
      </c>
      <c r="F297" s="166">
        <f>'1.8 сварка'!J93</f>
        <v>8.0000000000000004E-4</v>
      </c>
      <c r="G297" s="167">
        <f>'1.8 сварка'!K93</f>
        <v>3.3E-3</v>
      </c>
      <c r="H297" s="164">
        <f>'1.8 сварка'!J206</f>
        <v>8.6E-3</v>
      </c>
      <c r="I297" s="127">
        <f>'1.8 сварка'!K206</f>
        <v>4.4200000000000003E-2</v>
      </c>
      <c r="J297" s="122">
        <f>'1.8 сварка'!J335</f>
        <v>2.9999999999999997E-4</v>
      </c>
      <c r="K297" s="1053">
        <f>'1.8 сварка'!K335</f>
        <v>2.0000000000000001E-4</v>
      </c>
      <c r="L297" s="164"/>
      <c r="M297" s="127"/>
    </row>
    <row r="298" spans="2:13" ht="15" customHeight="1" x14ac:dyDescent="0.25">
      <c r="B298" s="1707"/>
      <c r="C298" s="668"/>
      <c r="D298" s="663" t="str">
        <f>'1.8 сварка'!G94</f>
        <v>Железа оксид</v>
      </c>
      <c r="E298" s="167" t="str">
        <f>'1.8 сварка'!H94</f>
        <v>0123</v>
      </c>
      <c r="F298" s="166">
        <f>'1.8 сварка'!J94</f>
        <v>2.5999999999999999E-3</v>
      </c>
      <c r="G298" s="167">
        <f>'1.8 сварка'!K94</f>
        <v>1.06E-2</v>
      </c>
      <c r="H298" s="164">
        <f>'1.8 сварка'!J207</f>
        <v>2.7799999999999998E-2</v>
      </c>
      <c r="I298" s="127">
        <f>'1.8 сварка'!K207</f>
        <v>0.14319999999999999</v>
      </c>
      <c r="J298" s="122">
        <f>'1.8 сварка'!J336</f>
        <v>1E-3</v>
      </c>
      <c r="K298" s="1053">
        <f>'1.8 сварка'!K336</f>
        <v>5.0000000000000001E-4</v>
      </c>
      <c r="L298" s="164"/>
      <c r="M298" s="127"/>
    </row>
    <row r="299" spans="2:13" ht="15" customHeight="1" x14ac:dyDescent="0.25">
      <c r="B299" s="1707"/>
      <c r="C299" s="668"/>
      <c r="D299" s="663" t="str">
        <f>'1.8 сварка'!G95</f>
        <v>Пыль неорг.с сод-м SiO2 70-20 %</v>
      </c>
      <c r="E299" s="167">
        <f>'1.8 сварка'!H95</f>
        <v>2908</v>
      </c>
      <c r="F299" s="166">
        <f>'1.8 сварка'!J95</f>
        <v>2.9999999999999997E-4</v>
      </c>
      <c r="G299" s="167">
        <f>'1.8 сварка'!K95</f>
        <v>1.4E-3</v>
      </c>
      <c r="H299" s="164">
        <f>'1.8 сварка'!J208</f>
        <v>3.5999999999999999E-3</v>
      </c>
      <c r="I299" s="127">
        <f>'1.8 сварка'!K208</f>
        <v>1.8700000000000001E-2</v>
      </c>
      <c r="J299" s="122">
        <f>'1.8 сварка'!J337</f>
        <v>1E-4</v>
      </c>
      <c r="K299" s="1053">
        <f>'1.8 сварка'!K337</f>
        <v>1E-4</v>
      </c>
      <c r="L299" s="164"/>
      <c r="M299" s="127"/>
    </row>
    <row r="300" spans="2:13" ht="15" customHeight="1" x14ac:dyDescent="0.25">
      <c r="B300" s="1707"/>
      <c r="C300" s="668"/>
      <c r="D300" s="663" t="str">
        <f>'1.8 сварка'!G96</f>
        <v>Оксид углерода</v>
      </c>
      <c r="E300" s="167" t="str">
        <f>'1.8 сварка'!H96</f>
        <v>0337</v>
      </c>
      <c r="F300" s="166">
        <f>'1.8 сварка'!J96+'1.9сварка полиэтилена'!H38</f>
        <v>3.2001E-3</v>
      </c>
      <c r="G300" s="167">
        <f>'1.8 сварка'!K96+'1.9сварка полиэтилена'!I38</f>
        <v>1.3100260000000001E-2</v>
      </c>
      <c r="H300" s="164">
        <f>'1.8 сварка'!J209+'1.9сварка полиэтилена'!H63</f>
        <v>3.46056E-2</v>
      </c>
      <c r="I300" s="127">
        <f>'1.8 сварка'!K209+'1.9сварка полиэтилена'!I63</f>
        <v>0.17811356</v>
      </c>
      <c r="J300" s="122">
        <f>'1.8 сварка'!J338</f>
        <v>1.1999999999999999E-3</v>
      </c>
      <c r="K300" s="1053">
        <f>'1.8 сварка'!K338</f>
        <v>5.9999999999999995E-4</v>
      </c>
      <c r="L300" s="164"/>
      <c r="M300" s="127"/>
    </row>
    <row r="301" spans="2:13" ht="15" customHeight="1" x14ac:dyDescent="0.25">
      <c r="B301" s="1707"/>
      <c r="C301" s="660"/>
      <c r="D301" s="664" t="str">
        <f>'1.9сварка полиэтилена'!F39</f>
        <v>Хлорэтилен /Винилхлорид/</v>
      </c>
      <c r="E301" s="665" t="str">
        <f>'1.9сварка полиэтилена'!G39</f>
        <v>0827</v>
      </c>
      <c r="F301" s="168">
        <f>'1.9сварка полиэтилена'!H39</f>
        <v>4.0000000000000001E-8</v>
      </c>
      <c r="G301" s="169">
        <f>'1.9сварка полиэтилена'!I39</f>
        <v>1.1000000000000001E-7</v>
      </c>
      <c r="H301" s="165">
        <f>'1.9сварка полиэтилена'!H64</f>
        <v>2.43E-6</v>
      </c>
      <c r="I301" s="128">
        <f>'1.9сварка полиэтилена'!I64</f>
        <v>5.8699999999999997E-6</v>
      </c>
      <c r="J301" s="122"/>
      <c r="K301" s="1057"/>
      <c r="L301" s="165"/>
      <c r="M301" s="128"/>
    </row>
    <row r="302" spans="2:13" s="137" customFormat="1" ht="15" customHeight="1" x14ac:dyDescent="0.25">
      <c r="B302" s="1707"/>
      <c r="C302" s="626">
        <v>7095</v>
      </c>
      <c r="D302" s="627" t="str">
        <f>'1.13топливозаправщик'!K71</f>
        <v>Углеводороды предельные С12-С19</v>
      </c>
      <c r="E302" s="630">
        <f>'1.13топливозаправщик'!L71</f>
        <v>2754</v>
      </c>
      <c r="F302" s="629">
        <f>'1.13топливозаправщик'!N71</f>
        <v>6.3E-3</v>
      </c>
      <c r="G302" s="630">
        <f>'1.13топливозаправщик'!O71</f>
        <v>2.0699999999999998E-3</v>
      </c>
      <c r="H302" s="629">
        <f>'1.13топливозаправщик'!N120</f>
        <v>6.3E-3</v>
      </c>
      <c r="I302" s="630">
        <f>'1.13топливозаправщик'!O120</f>
        <v>3.0599999999999998E-3</v>
      </c>
      <c r="J302" s="631">
        <f>'1.13топливозаправщик'!N169</f>
        <v>6.3E-3</v>
      </c>
      <c r="K302" s="1058">
        <f>'1.13топливозаправщик'!O169</f>
        <v>4.2000000000000002E-4</v>
      </c>
      <c r="L302" s="629"/>
      <c r="M302" s="630"/>
    </row>
    <row r="303" spans="2:13" s="137" customFormat="1" ht="15" customHeight="1" x14ac:dyDescent="0.25">
      <c r="B303" s="1708"/>
      <c r="C303" s="632"/>
      <c r="D303" s="633" t="str">
        <f>'1.13топливозаправщик'!K72</f>
        <v>Сероводород</v>
      </c>
      <c r="E303" s="648" t="str">
        <f>'1.13топливозаправщик'!L72</f>
        <v>0333</v>
      </c>
      <c r="F303" s="649">
        <f>'1.13топливозаправщик'!N72</f>
        <v>2.0000000000000002E-5</v>
      </c>
      <c r="G303" s="650">
        <f>'1.13топливозаправщик'!O72</f>
        <v>6.0000000000000002E-6</v>
      </c>
      <c r="H303" s="649">
        <f>'1.13топливозаправщик'!N121</f>
        <v>2.0000000000000002E-5</v>
      </c>
      <c r="I303" s="650">
        <f>'1.13топливозаправщик'!O121</f>
        <v>9.0000000000000002E-6</v>
      </c>
      <c r="J303" s="677">
        <f>'1.13топливозаправщик'!N170</f>
        <v>2.0000000000000002E-5</v>
      </c>
      <c r="K303" s="1059">
        <f>'1.13топливозаправщик'!O170</f>
        <v>9.9999999999999995E-7</v>
      </c>
      <c r="L303" s="635"/>
      <c r="M303" s="636"/>
    </row>
    <row r="304" spans="2:13" s="659" customFormat="1" ht="15" customHeight="1" x14ac:dyDescent="0.25">
      <c r="B304" s="1706" t="s">
        <v>914</v>
      </c>
      <c r="C304" s="670">
        <v>7096</v>
      </c>
      <c r="D304" s="652" t="str">
        <f>'1.3земляные работы'!N124</f>
        <v>Пыль неорг.с сод-м SiO2 70-20%</v>
      </c>
      <c r="E304" s="653" t="str">
        <f>'1.3земляные работы'!O124</f>
        <v>2908</v>
      </c>
      <c r="F304" s="646">
        <f>'1.3земляные работы'!Q124</f>
        <v>7.3000000000000001E-3</v>
      </c>
      <c r="G304" s="641">
        <f>'1.3земляные работы'!R124</f>
        <v>1.6799999999999999E-2</v>
      </c>
      <c r="H304" s="646"/>
      <c r="I304" s="641"/>
      <c r="J304" s="654"/>
      <c r="K304" s="1061"/>
      <c r="L304" s="646"/>
      <c r="M304" s="641"/>
    </row>
    <row r="305" spans="2:13" s="659" customFormat="1" ht="15" customHeight="1" x14ac:dyDescent="0.25">
      <c r="B305" s="1707"/>
      <c r="C305" s="670">
        <v>7097</v>
      </c>
      <c r="D305" s="652" t="str">
        <f>'1.5пересыпка материалов'!N44</f>
        <v>Пыль неорг.с сод-м SiO2 70-20%</v>
      </c>
      <c r="E305" s="653" t="str">
        <f>'1.5пересыпка материалов'!O44</f>
        <v>2908</v>
      </c>
      <c r="F305" s="646">
        <f>'1.5пересыпка материалов'!Q44</f>
        <v>3.7000000000000002E-3</v>
      </c>
      <c r="G305" s="641">
        <f>'1.5пересыпка материалов'!R44</f>
        <v>4.0000000000000003E-5</v>
      </c>
      <c r="H305" s="646"/>
      <c r="I305" s="641"/>
      <c r="J305" s="654"/>
      <c r="K305" s="1061"/>
      <c r="L305" s="646"/>
      <c r="M305" s="641"/>
    </row>
    <row r="306" spans="2:13" ht="15" customHeight="1" x14ac:dyDescent="0.25">
      <c r="B306" s="1707"/>
      <c r="C306" s="671">
        <v>7098</v>
      </c>
      <c r="D306" s="661" t="str">
        <f>'1.7покраска'!K109</f>
        <v>Ксилол</v>
      </c>
      <c r="E306" s="662" t="str">
        <f>'1.7покраска'!L109</f>
        <v>0616</v>
      </c>
      <c r="F306" s="170">
        <f>'1.7покраска'!M109</f>
        <v>6.25E-2</v>
      </c>
      <c r="G306" s="171">
        <f>'1.7покраска'!N109</f>
        <v>3.7629999999999997E-2</v>
      </c>
      <c r="H306" s="130"/>
      <c r="I306" s="129"/>
      <c r="J306" s="121"/>
      <c r="K306" s="1056"/>
      <c r="L306" s="130"/>
      <c r="M306" s="129"/>
    </row>
    <row r="307" spans="2:13" ht="15" customHeight="1" x14ac:dyDescent="0.25">
      <c r="B307" s="1707"/>
      <c r="C307" s="660"/>
      <c r="D307" s="664" t="str">
        <f>'1.7покраска'!K110</f>
        <v>Уайт-спирит</v>
      </c>
      <c r="E307" s="665" t="str">
        <f>'1.7покраска'!L110</f>
        <v>2752</v>
      </c>
      <c r="F307" s="168">
        <f>'1.7покраска'!M110</f>
        <v>3.1300000000000001E-2</v>
      </c>
      <c r="G307" s="169">
        <f>'1.7покраска'!N110</f>
        <v>1.1299999999999999E-2</v>
      </c>
      <c r="H307" s="165"/>
      <c r="I307" s="128"/>
      <c r="J307" s="123"/>
      <c r="K307" s="1057"/>
      <c r="L307" s="165"/>
      <c r="M307" s="128"/>
    </row>
    <row r="308" spans="2:13" ht="15" customHeight="1" x14ac:dyDescent="0.25">
      <c r="B308" s="1707"/>
      <c r="C308" s="668">
        <v>7099</v>
      </c>
      <c r="D308" s="663" t="str">
        <f>'1.8 сварка'!G98</f>
        <v>Фтористые газ.соед</v>
      </c>
      <c r="E308" s="668" t="str">
        <f>'1.8 сварка'!H98</f>
        <v>0342</v>
      </c>
      <c r="F308" s="166">
        <f>'1.8 сварка'!J98</f>
        <v>4.3E-3</v>
      </c>
      <c r="G308" s="171">
        <f>'1.8 сварка'!K98</f>
        <v>8.8000000000000005E-3</v>
      </c>
      <c r="H308" s="164"/>
      <c r="I308" s="127"/>
      <c r="J308" s="122"/>
      <c r="K308" s="1053"/>
      <c r="L308" s="164"/>
      <c r="M308" s="127"/>
    </row>
    <row r="309" spans="2:13" ht="15" customHeight="1" x14ac:dyDescent="0.25">
      <c r="B309" s="1707"/>
      <c r="C309" s="668"/>
      <c r="D309" s="663" t="str">
        <f>'1.8 сварка'!G99</f>
        <v>Диоксид азота</v>
      </c>
      <c r="E309" s="668" t="str">
        <f>'1.8 сварка'!H99</f>
        <v>0301</v>
      </c>
      <c r="F309" s="166">
        <f>'1.8 сварка'!J99</f>
        <v>8.5000000000000006E-3</v>
      </c>
      <c r="G309" s="167">
        <f>'1.8 сварка'!K99</f>
        <v>1.77E-2</v>
      </c>
      <c r="H309" s="164"/>
      <c r="I309" s="127"/>
      <c r="J309" s="122"/>
      <c r="K309" s="1053"/>
      <c r="L309" s="164"/>
      <c r="M309" s="127"/>
    </row>
    <row r="310" spans="2:13" ht="15" customHeight="1" x14ac:dyDescent="0.25">
      <c r="B310" s="1707"/>
      <c r="C310" s="668"/>
      <c r="D310" s="663" t="str">
        <f>'1.8 сварка'!G100</f>
        <v>Марганец и его соед.</v>
      </c>
      <c r="E310" s="668" t="str">
        <f>'1.8 сварка'!H100</f>
        <v>0143</v>
      </c>
      <c r="F310" s="166">
        <f>'1.8 сварка'!J100</f>
        <v>5.1999999999999998E-3</v>
      </c>
      <c r="G310" s="167">
        <f>'1.8 сварка'!K100</f>
        <v>1.0800000000000001E-2</v>
      </c>
      <c r="H310" s="164"/>
      <c r="I310" s="127"/>
      <c r="J310" s="122"/>
      <c r="K310" s="1053"/>
      <c r="L310" s="164"/>
      <c r="M310" s="127"/>
    </row>
    <row r="311" spans="2:13" ht="15" customHeight="1" x14ac:dyDescent="0.25">
      <c r="B311" s="1707"/>
      <c r="C311" s="668"/>
      <c r="D311" s="663" t="str">
        <f>'1.8 сварка'!G101</f>
        <v>Фториды</v>
      </c>
      <c r="E311" s="668" t="str">
        <f>'1.8 сварка'!H101</f>
        <v>0344</v>
      </c>
      <c r="F311" s="166">
        <f>'1.8 сварка'!J101</f>
        <v>1.8800000000000001E-2</v>
      </c>
      <c r="G311" s="167">
        <f>'1.8 сварка'!K101</f>
        <v>3.8800000000000001E-2</v>
      </c>
      <c r="H311" s="164"/>
      <c r="I311" s="127"/>
      <c r="J311" s="122"/>
      <c r="K311" s="1053"/>
      <c r="L311" s="164"/>
      <c r="M311" s="127"/>
    </row>
    <row r="312" spans="2:13" ht="15" customHeight="1" x14ac:dyDescent="0.25">
      <c r="B312" s="1707"/>
      <c r="C312" s="668"/>
      <c r="D312" s="663" t="str">
        <f>'1.8 сварка'!G102</f>
        <v>Железа оксид</v>
      </c>
      <c r="E312" s="668" t="str">
        <f>'1.8 сварка'!H102</f>
        <v>0123</v>
      </c>
      <c r="F312" s="166">
        <f>'1.8 сварка'!J102</f>
        <v>6.08E-2</v>
      </c>
      <c r="G312" s="167">
        <f>'1.8 сварка'!K102</f>
        <v>0.1258</v>
      </c>
      <c r="H312" s="164"/>
      <c r="I312" s="127"/>
      <c r="J312" s="122"/>
      <c r="K312" s="1053"/>
      <c r="L312" s="164"/>
      <c r="M312" s="127"/>
    </row>
    <row r="313" spans="2:13" ht="15" customHeight="1" x14ac:dyDescent="0.25">
      <c r="B313" s="1707"/>
      <c r="C313" s="668"/>
      <c r="D313" s="663" t="str">
        <f>'1.8 сварка'!G103</f>
        <v>Пыль неорг.с сод-м SiO2 70-20 %</v>
      </c>
      <c r="E313" s="668">
        <f>'1.8 сварка'!H103</f>
        <v>2908</v>
      </c>
      <c r="F313" s="166">
        <f>'1.8 сварка'!J103</f>
        <v>8.0000000000000002E-3</v>
      </c>
      <c r="G313" s="167">
        <f>'1.8 сварка'!K103</f>
        <v>1.6500000000000001E-2</v>
      </c>
      <c r="H313" s="164"/>
      <c r="I313" s="127"/>
      <c r="J313" s="122"/>
      <c r="K313" s="1053"/>
      <c r="L313" s="164"/>
      <c r="M313" s="127"/>
    </row>
    <row r="314" spans="2:13" ht="15" customHeight="1" x14ac:dyDescent="0.25">
      <c r="B314" s="1707"/>
      <c r="C314" s="668"/>
      <c r="D314" s="663" t="str">
        <f>'1.8 сварка'!G104</f>
        <v>Оксид углерода</v>
      </c>
      <c r="E314" s="668" t="str">
        <f>'1.8 сварка'!H104</f>
        <v>0337</v>
      </c>
      <c r="F314" s="166">
        <f>'1.8 сварка'!J104+'1.9сварка полиэтилена'!H41</f>
        <v>7.5601000000000002E-2</v>
      </c>
      <c r="G314" s="167">
        <f>'1.8 сварка'!K104+'1.9сварка полиэтилена'!I41</f>
        <v>0.15650063</v>
      </c>
      <c r="H314" s="164"/>
      <c r="I314" s="127"/>
      <c r="J314" s="122"/>
      <c r="K314" s="1053"/>
      <c r="L314" s="164"/>
      <c r="M314" s="127"/>
    </row>
    <row r="315" spans="2:13" ht="15" customHeight="1" x14ac:dyDescent="0.25">
      <c r="B315" s="1707"/>
      <c r="C315" s="660"/>
      <c r="D315" s="664" t="str">
        <f>'1.9сварка полиэтилена'!F42</f>
        <v>Хлорэтилен /Винилхлорид/</v>
      </c>
      <c r="E315" s="665" t="str">
        <f>'1.9сварка полиэтилена'!G42</f>
        <v>0827</v>
      </c>
      <c r="F315" s="179">
        <f>'1.9сварка полиэтилена'!H42</f>
        <v>4.2E-7</v>
      </c>
      <c r="G315" s="660">
        <f>'1.9сварка полиэтилена'!I42</f>
        <v>2.7000000000000001E-7</v>
      </c>
      <c r="H315" s="165"/>
      <c r="I315" s="128"/>
      <c r="J315" s="123"/>
      <c r="K315" s="1057"/>
      <c r="L315" s="165"/>
      <c r="M315" s="128"/>
    </row>
    <row r="316" spans="2:13" s="137" customFormat="1" ht="15" customHeight="1" x14ac:dyDescent="0.25">
      <c r="B316" s="1707"/>
      <c r="C316" s="626">
        <v>7101</v>
      </c>
      <c r="D316" s="627" t="str">
        <f>'1.13топливозаправщик'!K74</f>
        <v>Углеводороды предельные С12-С19</v>
      </c>
      <c r="E316" s="628">
        <f>'1.13топливозаправщик'!L74</f>
        <v>2754</v>
      </c>
      <c r="F316" s="631">
        <f>'1.13топливозаправщик'!N74</f>
        <v>6.3E-3</v>
      </c>
      <c r="G316" s="630">
        <f>'1.13топливозаправщик'!O74</f>
        <v>7.3999999999999999E-4</v>
      </c>
      <c r="H316" s="629"/>
      <c r="I316" s="630"/>
      <c r="J316" s="631"/>
      <c r="K316" s="1058"/>
      <c r="L316" s="629"/>
      <c r="M316" s="630"/>
    </row>
    <row r="317" spans="2:13" s="137" customFormat="1" ht="15" customHeight="1" x14ac:dyDescent="0.25">
      <c r="B317" s="1708"/>
      <c r="C317" s="632"/>
      <c r="D317" s="633" t="str">
        <f>'1.13топливозаправщик'!K75</f>
        <v>Сероводород</v>
      </c>
      <c r="E317" s="634" t="str">
        <f>'1.13топливозаправщик'!L75</f>
        <v>0333</v>
      </c>
      <c r="F317" s="677">
        <f>'1.13топливозаправщик'!N75</f>
        <v>2.0000000000000002E-5</v>
      </c>
      <c r="G317" s="648">
        <f>'1.13топливозаправщик'!O75</f>
        <v>1.9999999999999999E-6</v>
      </c>
      <c r="H317" s="649"/>
      <c r="I317" s="650"/>
      <c r="J317" s="677"/>
      <c r="K317" s="1059"/>
      <c r="L317" s="635"/>
      <c r="M317" s="636"/>
    </row>
    <row r="318" spans="2:13" s="659" customFormat="1" ht="15" customHeight="1" x14ac:dyDescent="0.25">
      <c r="B318" s="1706" t="s">
        <v>288</v>
      </c>
      <c r="C318" s="670">
        <v>7102</v>
      </c>
      <c r="D318" s="652" t="str">
        <f>'1.3земляные работы'!N215</f>
        <v>Пыль неорг.с сод-м SiO2 70-20%</v>
      </c>
      <c r="E318" s="653" t="str">
        <f>'1.3земляные работы'!O215</f>
        <v>2908</v>
      </c>
      <c r="F318" s="646"/>
      <c r="G318" s="641"/>
      <c r="H318" s="646">
        <f>'1.3земляные работы'!Q215</f>
        <v>2.8999999999999998E-3</v>
      </c>
      <c r="I318" s="641">
        <f>'1.3земляные работы'!R215</f>
        <v>9.6000000000000002E-4</v>
      </c>
      <c r="J318" s="654"/>
      <c r="K318" s="1061"/>
      <c r="L318" s="646"/>
      <c r="M318" s="641"/>
    </row>
    <row r="319" spans="2:13" s="659" customFormat="1" ht="15" customHeight="1" x14ac:dyDescent="0.25">
      <c r="B319" s="1707"/>
      <c r="C319" s="670">
        <v>7103</v>
      </c>
      <c r="D319" s="652" t="str">
        <f>'1.4 транспортирование'!R159</f>
        <v>Пыль неорг. с сод-м SiO2 70-20%</v>
      </c>
      <c r="E319" s="653">
        <f>'1.4 транспортирование'!S159</f>
        <v>2908</v>
      </c>
      <c r="F319" s="654"/>
      <c r="G319" s="641"/>
      <c r="H319" s="646">
        <f>'1.4 транспортирование'!T159</f>
        <v>8.0000000000000004E-4</v>
      </c>
      <c r="I319" s="641">
        <f>'1.4 транспортирование'!U159</f>
        <v>2.0000000000000002E-5</v>
      </c>
      <c r="J319" s="654"/>
      <c r="K319" s="1061"/>
      <c r="L319" s="646"/>
      <c r="M319" s="641"/>
    </row>
    <row r="320" spans="2:13" ht="15" customHeight="1" x14ac:dyDescent="0.25">
      <c r="B320" s="1707"/>
      <c r="C320" s="668">
        <v>7104</v>
      </c>
      <c r="D320" s="663" t="str">
        <f>'1.7покраска'!K232</f>
        <v>Бутилацетат</v>
      </c>
      <c r="E320" s="668">
        <f>'1.7покраска'!L232</f>
        <v>1210</v>
      </c>
      <c r="F320" s="166"/>
      <c r="G320" s="171"/>
      <c r="H320" s="164">
        <f>'1.7покраска'!M232</f>
        <v>8.9599999999999999E-2</v>
      </c>
      <c r="I320" s="127">
        <f>'1.7покраска'!N232</f>
        <v>3.5999999999999999E-3</v>
      </c>
      <c r="J320" s="122"/>
      <c r="K320" s="1053"/>
      <c r="L320" s="164"/>
      <c r="M320" s="127"/>
    </row>
    <row r="321" spans="2:13" ht="15" customHeight="1" x14ac:dyDescent="0.25">
      <c r="B321" s="1707"/>
      <c r="C321" s="668"/>
      <c r="D321" s="663" t="str">
        <f>'1.7покраска'!K233</f>
        <v>Бутиловый спирт</v>
      </c>
      <c r="E321" s="668" t="str">
        <f>'1.7покраска'!L233</f>
        <v>1042</v>
      </c>
      <c r="F321" s="166"/>
      <c r="G321" s="167"/>
      <c r="H321" s="164">
        <f>'1.7покраска'!M233</f>
        <v>8.9599999999999999E-2</v>
      </c>
      <c r="I321" s="127">
        <f>'1.7покраска'!N233</f>
        <v>1.4599999999999999E-3</v>
      </c>
      <c r="J321" s="122"/>
      <c r="K321" s="1053"/>
      <c r="L321" s="164"/>
      <c r="M321" s="127"/>
    </row>
    <row r="322" spans="2:13" ht="15" customHeight="1" x14ac:dyDescent="0.25">
      <c r="B322" s="1707"/>
      <c r="C322" s="668"/>
      <c r="D322" s="663" t="str">
        <f>'1.7покраска'!K234</f>
        <v>Этиловый спирт</v>
      </c>
      <c r="E322" s="668" t="str">
        <f>'1.7покраска'!L234</f>
        <v>1061</v>
      </c>
      <c r="F322" s="166"/>
      <c r="G322" s="167"/>
      <c r="H322" s="164">
        <f>'1.7покраска'!M234</f>
        <v>1.7899999999999999E-2</v>
      </c>
      <c r="I322" s="127">
        <f>'1.7покраска'!N234</f>
        <v>6.9999999999999999E-4</v>
      </c>
      <c r="J322" s="122"/>
      <c r="K322" s="1053"/>
      <c r="L322" s="164"/>
      <c r="M322" s="127"/>
    </row>
    <row r="323" spans="2:13" ht="15" customHeight="1" x14ac:dyDescent="0.25">
      <c r="B323" s="1707"/>
      <c r="C323" s="668"/>
      <c r="D323" s="663" t="str">
        <f>'1.7покраска'!K235</f>
        <v>Толуол</v>
      </c>
      <c r="E323" s="668" t="str">
        <f>'1.7покраска'!L235</f>
        <v>0621</v>
      </c>
      <c r="F323" s="166"/>
      <c r="G323" s="167"/>
      <c r="H323" s="164">
        <f>'1.7покраска'!M235</f>
        <v>3.5799999999999998E-2</v>
      </c>
      <c r="I323" s="127">
        <f>'1.7покраска'!N235</f>
        <v>1.5E-3</v>
      </c>
      <c r="J323" s="122"/>
      <c r="K323" s="1053"/>
      <c r="L323" s="164"/>
      <c r="M323" s="127"/>
    </row>
    <row r="324" spans="2:13" ht="15" customHeight="1" x14ac:dyDescent="0.25">
      <c r="B324" s="1707"/>
      <c r="C324" s="668"/>
      <c r="D324" s="663" t="str">
        <f>'1.7покраска'!K236</f>
        <v>Ксилол</v>
      </c>
      <c r="E324" s="668" t="str">
        <f>'1.7покраска'!L236</f>
        <v>0616</v>
      </c>
      <c r="F324" s="166"/>
      <c r="G324" s="167"/>
      <c r="H324" s="164">
        <f>'1.7покраска'!M236</f>
        <v>6.25E-2</v>
      </c>
      <c r="I324" s="127">
        <f>'1.7покраска'!N236</f>
        <v>5.4000000000000003E-3</v>
      </c>
      <c r="J324" s="122"/>
      <c r="K324" s="1053"/>
      <c r="L324" s="164"/>
      <c r="M324" s="127"/>
    </row>
    <row r="325" spans="2:13" ht="15" customHeight="1" x14ac:dyDescent="0.25">
      <c r="B325" s="1707"/>
      <c r="C325" s="660"/>
      <c r="D325" s="664" t="str">
        <f>'1.7покраска'!K237</f>
        <v>Уайт-спирит</v>
      </c>
      <c r="E325" s="660" t="str">
        <f>'1.7покраска'!L237</f>
        <v>2752</v>
      </c>
      <c r="F325" s="168"/>
      <c r="G325" s="169"/>
      <c r="H325" s="165">
        <f>'1.7покраска'!M237</f>
        <v>3.1300000000000001E-2</v>
      </c>
      <c r="I325" s="128">
        <f>'1.7покраска'!N237</f>
        <v>2.7000000000000001E-3</v>
      </c>
      <c r="J325" s="123"/>
      <c r="K325" s="1057"/>
      <c r="L325" s="165"/>
      <c r="M325" s="128"/>
    </row>
    <row r="326" spans="2:13" ht="15" customHeight="1" x14ac:dyDescent="0.25">
      <c r="B326" s="1707"/>
      <c r="C326" s="668">
        <v>7105</v>
      </c>
      <c r="D326" s="663" t="str">
        <f>'1.8 сварка'!G211</f>
        <v>Фтористые газ.соед</v>
      </c>
      <c r="E326" s="668" t="str">
        <f>'1.8 сварка'!H211</f>
        <v>0342</v>
      </c>
      <c r="F326" s="178"/>
      <c r="G326" s="167"/>
      <c r="H326" s="130">
        <f>'1.8 сварка'!J211</f>
        <v>2.7000000000000001E-3</v>
      </c>
      <c r="I326" s="129">
        <f>'1.8 сварка'!K211</f>
        <v>1.4E-3</v>
      </c>
      <c r="J326" s="122"/>
      <c r="K326" s="1053"/>
      <c r="L326" s="164"/>
      <c r="M326" s="127"/>
    </row>
    <row r="327" spans="2:13" ht="15" customHeight="1" x14ac:dyDescent="0.25">
      <c r="B327" s="1707"/>
      <c r="C327" s="668"/>
      <c r="D327" s="663" t="str">
        <f>'1.8 сварка'!G212</f>
        <v>Диоксид азота</v>
      </c>
      <c r="E327" s="668" t="str">
        <f>'1.8 сварка'!H212</f>
        <v>0301</v>
      </c>
      <c r="F327" s="178"/>
      <c r="G327" s="167"/>
      <c r="H327" s="164">
        <f>'1.8 сварка'!J212</f>
        <v>5.4000000000000003E-3</v>
      </c>
      <c r="I327" s="127">
        <f>'1.8 сварка'!K212</f>
        <v>2.8E-3</v>
      </c>
      <c r="J327" s="122"/>
      <c r="K327" s="1053"/>
      <c r="L327" s="164"/>
      <c r="M327" s="127"/>
    </row>
    <row r="328" spans="2:13" ht="15" customHeight="1" x14ac:dyDescent="0.25">
      <c r="B328" s="1707"/>
      <c r="C328" s="668"/>
      <c r="D328" s="663" t="str">
        <f>'1.8 сварка'!G213</f>
        <v>Марганец и его соед.</v>
      </c>
      <c r="E328" s="668" t="str">
        <f>'1.8 сварка'!H213</f>
        <v>0143</v>
      </c>
      <c r="F328" s="178"/>
      <c r="G328" s="167"/>
      <c r="H328" s="164">
        <f>'1.8 сварка'!J213</f>
        <v>3.3E-3</v>
      </c>
      <c r="I328" s="127">
        <f>'1.8 сварка'!K213</f>
        <v>1.6999999999999999E-3</v>
      </c>
      <c r="J328" s="122"/>
      <c r="K328" s="1053"/>
      <c r="L328" s="164"/>
      <c r="M328" s="127"/>
    </row>
    <row r="329" spans="2:13" ht="15" customHeight="1" x14ac:dyDescent="0.25">
      <c r="B329" s="1707"/>
      <c r="C329" s="668"/>
      <c r="D329" s="663" t="str">
        <f>'1.8 сварка'!G214</f>
        <v>Фториды</v>
      </c>
      <c r="E329" s="668" t="str">
        <f>'1.8 сварка'!H214</f>
        <v>0344</v>
      </c>
      <c r="F329" s="178"/>
      <c r="G329" s="167"/>
      <c r="H329" s="164">
        <f>'1.8 сварка'!J214</f>
        <v>1.1900000000000001E-2</v>
      </c>
      <c r="I329" s="127">
        <f>'1.8 сварка'!K214</f>
        <v>6.1000000000000004E-3</v>
      </c>
      <c r="J329" s="122"/>
      <c r="K329" s="1053"/>
      <c r="L329" s="164"/>
      <c r="M329" s="127"/>
    </row>
    <row r="330" spans="2:13" ht="15" customHeight="1" x14ac:dyDescent="0.25">
      <c r="B330" s="1707"/>
      <c r="C330" s="668"/>
      <c r="D330" s="663" t="str">
        <f>'1.8 сварка'!G215</f>
        <v>Железа оксид</v>
      </c>
      <c r="E330" s="668" t="str">
        <f>'1.8 сварка'!H215</f>
        <v>0123</v>
      </c>
      <c r="F330" s="178"/>
      <c r="G330" s="167"/>
      <c r="H330" s="164">
        <f>'1.8 сварка'!J215</f>
        <v>3.8699999999999998E-2</v>
      </c>
      <c r="I330" s="127">
        <f>'1.8 сварка'!K215</f>
        <v>1.9900000000000001E-2</v>
      </c>
      <c r="J330" s="122"/>
      <c r="K330" s="1053"/>
      <c r="L330" s="164"/>
      <c r="M330" s="127"/>
    </row>
    <row r="331" spans="2:13" ht="15" customHeight="1" x14ac:dyDescent="0.25">
      <c r="B331" s="1707"/>
      <c r="C331" s="668"/>
      <c r="D331" s="663" t="str">
        <f>'1.8 сварка'!G216</f>
        <v>Пыль неорг.с сод-м SiO2 70-20 %</v>
      </c>
      <c r="E331" s="668">
        <f>'1.8 сварка'!H216</f>
        <v>2908</v>
      </c>
      <c r="F331" s="178"/>
      <c r="G331" s="167"/>
      <c r="H331" s="164">
        <f>'1.8 сварка'!J216</f>
        <v>5.1000000000000004E-3</v>
      </c>
      <c r="I331" s="127">
        <f>'1.8 сварка'!K216</f>
        <v>2.5999999999999999E-3</v>
      </c>
      <c r="J331" s="122"/>
      <c r="K331" s="1053"/>
      <c r="L331" s="164"/>
      <c r="M331" s="127"/>
    </row>
    <row r="332" spans="2:13" ht="15" customHeight="1" x14ac:dyDescent="0.25">
      <c r="B332" s="1707"/>
      <c r="C332" s="668"/>
      <c r="D332" s="663" t="str">
        <f>'1.8 сварка'!G217</f>
        <v>Оксид углерода</v>
      </c>
      <c r="E332" s="668" t="str">
        <f>'1.8 сварка'!H217</f>
        <v>0337</v>
      </c>
      <c r="F332" s="178"/>
      <c r="G332" s="167"/>
      <c r="H332" s="164">
        <f>'1.8 сварка'!J217+'1.9сварка полиэтилена'!H66</f>
        <v>4.8100999999999998E-2</v>
      </c>
      <c r="I332" s="127">
        <f>'1.8 сварка'!K217+'1.9сварка полиэтилена'!I66</f>
        <v>2.4800639999999999E-2</v>
      </c>
      <c r="J332" s="122"/>
      <c r="K332" s="1053"/>
      <c r="L332" s="164"/>
      <c r="M332" s="127"/>
    </row>
    <row r="333" spans="2:13" ht="15" customHeight="1" x14ac:dyDescent="0.25">
      <c r="B333" s="1707"/>
      <c r="C333" s="660"/>
      <c r="D333" s="664" t="str">
        <f>'1.9сварка полиэтилена'!F67</f>
        <v>Хлорэтилен /Винилхлорид/</v>
      </c>
      <c r="E333" s="660" t="str">
        <f>'1.9сварка полиэтилена'!G67</f>
        <v>0827</v>
      </c>
      <c r="F333" s="179"/>
      <c r="G333" s="169"/>
      <c r="H333" s="165">
        <f>'1.9сварка полиэтилена'!H67</f>
        <v>4.3000000000000001E-7</v>
      </c>
      <c r="I333" s="128">
        <f>'1.9сварка полиэтилена'!I67</f>
        <v>2.8000000000000002E-7</v>
      </c>
      <c r="J333" s="123"/>
      <c r="K333" s="1057"/>
      <c r="L333" s="165"/>
      <c r="M333" s="128"/>
    </row>
    <row r="334" spans="2:13" ht="15" customHeight="1" x14ac:dyDescent="0.25">
      <c r="B334" s="1707"/>
      <c r="C334" s="668">
        <v>7106</v>
      </c>
      <c r="D334" s="663" t="str">
        <f>'1.10 ДЭС и буровые установки'!K59</f>
        <v>Углерода оксид</v>
      </c>
      <c r="E334" s="668" t="str">
        <f>'1.10 ДЭС и буровые установки'!L59</f>
        <v>0337</v>
      </c>
      <c r="F334" s="178"/>
      <c r="G334" s="167"/>
      <c r="H334" s="164">
        <f>'1.10 ДЭС и буровые установки'!M59</f>
        <v>0.29110000000000003</v>
      </c>
      <c r="I334" s="129">
        <f>'1.10 ДЭС и буровые установки'!N59</f>
        <v>3.5400000000000001E-2</v>
      </c>
      <c r="J334" s="122"/>
      <c r="K334" s="1053"/>
      <c r="L334" s="164"/>
      <c r="M334" s="127"/>
    </row>
    <row r="335" spans="2:13" ht="15" customHeight="1" x14ac:dyDescent="0.25">
      <c r="B335" s="1707"/>
      <c r="C335" s="668"/>
      <c r="D335" s="663" t="str">
        <f>'1.10 ДЭС и буровые установки'!K60</f>
        <v>Азота диоксид</v>
      </c>
      <c r="E335" s="668" t="str">
        <f>'1.10 ДЭС и буровые установки'!L60</f>
        <v>0301</v>
      </c>
      <c r="F335" s="178"/>
      <c r="G335" s="167"/>
      <c r="H335" s="164">
        <f>'1.10 ДЭС и буровые установки'!M60</f>
        <v>0.36049999999999999</v>
      </c>
      <c r="I335" s="127">
        <f>'1.10 ДЭС и буровые установки'!N60</f>
        <v>4.3499999999999997E-2</v>
      </c>
      <c r="J335" s="122"/>
      <c r="K335" s="1053"/>
      <c r="L335" s="164"/>
      <c r="M335" s="127"/>
    </row>
    <row r="336" spans="2:13" ht="15" customHeight="1" x14ac:dyDescent="0.25">
      <c r="B336" s="1707"/>
      <c r="C336" s="668"/>
      <c r="D336" s="663" t="str">
        <f>'1.10 ДЭС и буровые установки'!K61</f>
        <v>Азота оксид</v>
      </c>
      <c r="E336" s="668" t="str">
        <f>'1.10 ДЭС и буровые установки'!L61</f>
        <v>0304</v>
      </c>
      <c r="F336" s="178"/>
      <c r="G336" s="167"/>
      <c r="H336" s="164">
        <f>'1.10 ДЭС и буровые установки'!M61</f>
        <v>5.8599999999999999E-2</v>
      </c>
      <c r="I336" s="127">
        <f>'1.10 ДЭС и буровые установки'!N61</f>
        <v>7.1000000000000004E-3</v>
      </c>
      <c r="J336" s="122"/>
      <c r="K336" s="1053"/>
      <c r="L336" s="164"/>
      <c r="M336" s="127"/>
    </row>
    <row r="337" spans="2:13" ht="15" customHeight="1" x14ac:dyDescent="0.25">
      <c r="B337" s="1707"/>
      <c r="C337" s="668"/>
      <c r="D337" s="663" t="str">
        <f>'1.10 ДЭС и буровые установки'!K62</f>
        <v>Углеводороды</v>
      </c>
      <c r="E337" s="668">
        <f>'1.10 ДЭС и буровые установки'!L62</f>
        <v>2754</v>
      </c>
      <c r="F337" s="178"/>
      <c r="G337" s="167"/>
      <c r="H337" s="164">
        <f>'1.10 ДЭС и буровые установки'!M62</f>
        <v>0.1361</v>
      </c>
      <c r="I337" s="127">
        <f>'1.10 ДЭС и буровые установки'!N62</f>
        <v>1.6299999999999999E-2</v>
      </c>
      <c r="J337" s="122"/>
      <c r="K337" s="1053"/>
      <c r="L337" s="164"/>
      <c r="M337" s="127"/>
    </row>
    <row r="338" spans="2:13" ht="15" customHeight="1" x14ac:dyDescent="0.25">
      <c r="B338" s="1707"/>
      <c r="C338" s="668"/>
      <c r="D338" s="663" t="str">
        <f>'1.10 ДЭС и буровые установки'!K63</f>
        <v>Углерод черный</v>
      </c>
      <c r="E338" s="668" t="str">
        <f>'1.10 ДЭС и буровые установки'!L63</f>
        <v>0328</v>
      </c>
      <c r="F338" s="178"/>
      <c r="G338" s="167"/>
      <c r="H338" s="164">
        <f>'1.10 ДЭС и буровые установки'!M63</f>
        <v>2.35E-2</v>
      </c>
      <c r="I338" s="127">
        <f>'1.10 ДЭС и буровые установки'!N63</f>
        <v>2.7000000000000001E-3</v>
      </c>
      <c r="J338" s="122"/>
      <c r="K338" s="1053"/>
      <c r="L338" s="164"/>
      <c r="M338" s="127"/>
    </row>
    <row r="339" spans="2:13" ht="15" customHeight="1" x14ac:dyDescent="0.25">
      <c r="B339" s="1707"/>
      <c r="C339" s="668"/>
      <c r="D339" s="663" t="str">
        <f>'1.10 ДЭС и буровые установки'!K64</f>
        <v>Сернистый ангидрид</v>
      </c>
      <c r="E339" s="668" t="str">
        <f>'1.10 ДЭС и буровые установки'!L64</f>
        <v>0330</v>
      </c>
      <c r="F339" s="178"/>
      <c r="G339" s="167"/>
      <c r="H339" s="164">
        <f>'1.10 ДЭС и буровые установки'!M64</f>
        <v>5.6300000000000003E-2</v>
      </c>
      <c r="I339" s="127">
        <f>'1.10 ДЭС и буровые установки'!N64</f>
        <v>6.7999999999999996E-3</v>
      </c>
      <c r="J339" s="122"/>
      <c r="K339" s="1053"/>
      <c r="L339" s="164"/>
      <c r="M339" s="127"/>
    </row>
    <row r="340" spans="2:13" ht="15" customHeight="1" x14ac:dyDescent="0.25">
      <c r="B340" s="1707"/>
      <c r="C340" s="668"/>
      <c r="D340" s="663" t="str">
        <f>'1.10 ДЭС и буровые установки'!K65</f>
        <v>Формальдегид</v>
      </c>
      <c r="E340" s="668" t="str">
        <f>'1.10 ДЭС и буровые установки'!L65</f>
        <v>1325</v>
      </c>
      <c r="F340" s="178"/>
      <c r="G340" s="167"/>
      <c r="H340" s="164">
        <f>'1.10 ДЭС и буровые установки'!M65</f>
        <v>5.5999999999999999E-3</v>
      </c>
      <c r="I340" s="127">
        <f>'1.10 ДЭС и буровые установки'!N65</f>
        <v>6.8000000000000005E-4</v>
      </c>
      <c r="J340" s="122"/>
      <c r="K340" s="1053"/>
      <c r="L340" s="164"/>
      <c r="M340" s="127"/>
    </row>
    <row r="341" spans="2:13" ht="15" customHeight="1" x14ac:dyDescent="0.25">
      <c r="B341" s="1707"/>
      <c r="C341" s="668"/>
      <c r="D341" s="663" t="str">
        <f>'1.10 ДЭС и буровые установки'!K66</f>
        <v>Бенз(а)пирен</v>
      </c>
      <c r="E341" s="668" t="str">
        <f>'1.10 ДЭС и буровые установки'!L66</f>
        <v>0703</v>
      </c>
      <c r="F341" s="178"/>
      <c r="G341" s="167"/>
      <c r="H341" s="164">
        <f>'1.10 ДЭС и буровые установки'!M66</f>
        <v>5.9999999999999997E-7</v>
      </c>
      <c r="I341" s="127">
        <f>'1.10 ДЭС и буровые установки'!N66</f>
        <v>9.9999999999999995E-8</v>
      </c>
      <c r="J341" s="122"/>
      <c r="K341" s="1053"/>
      <c r="L341" s="164"/>
      <c r="M341" s="127"/>
    </row>
    <row r="342" spans="2:13" ht="15" customHeight="1" x14ac:dyDescent="0.25">
      <c r="B342" s="1707"/>
      <c r="C342" s="668"/>
      <c r="D342" s="663" t="str">
        <f>'1.11бурение'!H32</f>
        <v>Пыль неорг.с сод-м SiO2 70-20%</v>
      </c>
      <c r="E342" s="668">
        <f>'1.11бурение'!I32</f>
        <v>2908</v>
      </c>
      <c r="F342" s="178"/>
      <c r="G342" s="167"/>
      <c r="H342" s="164">
        <f>'1.11бурение'!J32</f>
        <v>0.11</v>
      </c>
      <c r="I342" s="128">
        <f>'1.11бурение'!K32</f>
        <v>0.4158</v>
      </c>
      <c r="J342" s="122"/>
      <c r="K342" s="1053"/>
      <c r="L342" s="164"/>
      <c r="M342" s="127"/>
    </row>
    <row r="343" spans="2:13" s="137" customFormat="1" ht="15" customHeight="1" x14ac:dyDescent="0.25">
      <c r="B343" s="1707"/>
      <c r="C343" s="626">
        <v>7107</v>
      </c>
      <c r="D343" s="627" t="str">
        <f>'1.13топливозаправщик'!K123</f>
        <v>Углеводороды предельные С12-С19</v>
      </c>
      <c r="E343" s="630">
        <f>'1.13топливозаправщик'!L123</f>
        <v>2754</v>
      </c>
      <c r="F343" s="631"/>
      <c r="G343" s="630"/>
      <c r="H343" s="629">
        <f>'1.13топливозаправщик'!N123</f>
        <v>6.3E-3</v>
      </c>
      <c r="I343" s="630">
        <f>'1.13топливозаправщик'!O123</f>
        <v>6.9999999999999999E-4</v>
      </c>
      <c r="J343" s="631"/>
      <c r="K343" s="1058"/>
      <c r="L343" s="629"/>
      <c r="M343" s="630"/>
    </row>
    <row r="344" spans="2:13" s="137" customFormat="1" ht="15" customHeight="1" x14ac:dyDescent="0.25">
      <c r="B344" s="1708"/>
      <c r="C344" s="632"/>
      <c r="D344" s="633" t="str">
        <f>'1.13топливозаправщик'!K124</f>
        <v>Сероводород</v>
      </c>
      <c r="E344" s="648" t="str">
        <f>'1.13топливозаправщик'!L124</f>
        <v>0333</v>
      </c>
      <c r="F344" s="677"/>
      <c r="G344" s="648"/>
      <c r="H344" s="649">
        <f>'1.13топливозаправщик'!N124</f>
        <v>2.0000000000000002E-5</v>
      </c>
      <c r="I344" s="650">
        <f>'1.13топливозаправщик'!O124</f>
        <v>1.9999999999999999E-6</v>
      </c>
      <c r="J344" s="677"/>
      <c r="K344" s="1059"/>
      <c r="L344" s="635"/>
      <c r="M344" s="636"/>
    </row>
    <row r="345" spans="2:13" s="105" customFormat="1" ht="15" customHeight="1" x14ac:dyDescent="0.25">
      <c r="B345" s="1706" t="s">
        <v>291</v>
      </c>
      <c r="C345" s="670">
        <v>7108</v>
      </c>
      <c r="D345" s="652" t="str">
        <f>'1.3земляные работы'!N224</f>
        <v>Пыль неорг.с сод-м SiO2 70-20%</v>
      </c>
      <c r="E345" s="653" t="str">
        <f>'1.3земляные работы'!O224</f>
        <v>2908</v>
      </c>
      <c r="F345" s="646"/>
      <c r="G345" s="641"/>
      <c r="H345" s="646">
        <f>'1.3земляные работы'!Q224</f>
        <v>2.1899999999999999E-2</v>
      </c>
      <c r="I345" s="641">
        <f>'1.3земляные работы'!R224</f>
        <v>0.29935</v>
      </c>
      <c r="J345" s="654">
        <f>'1.3земляные работы'!Q307</f>
        <v>7.3000000000000001E-3</v>
      </c>
      <c r="K345" s="1061">
        <f>'1.3земляные работы'!R307</f>
        <v>5.6000000000000008E-3</v>
      </c>
      <c r="L345" s="646"/>
      <c r="M345" s="641"/>
    </row>
    <row r="346" spans="2:13" s="105" customFormat="1" ht="15" customHeight="1" x14ac:dyDescent="0.25">
      <c r="B346" s="1707"/>
      <c r="C346" s="670">
        <v>7109</v>
      </c>
      <c r="D346" s="652" t="str">
        <f>'1.4 транспортирование'!R165</f>
        <v>Пыль неорг. с сод-м SiO2 70-20%</v>
      </c>
      <c r="E346" s="653">
        <f>'1.4 транспортирование'!S165</f>
        <v>2908</v>
      </c>
      <c r="F346" s="654"/>
      <c r="G346" s="641"/>
      <c r="H346" s="646">
        <f>'1.4 транспортирование'!T165</f>
        <v>5.5000000000000005E-3</v>
      </c>
      <c r="I346" s="641">
        <f>'1.4 транспортирование'!U165</f>
        <v>4.7799999999999995E-3</v>
      </c>
      <c r="J346" s="654">
        <f>'1.4 транспортирование'!T216</f>
        <v>3.5999999999999999E-3</v>
      </c>
      <c r="K346" s="1061">
        <f>'1.4 транспортирование'!U216</f>
        <v>1.1000000000000001E-3</v>
      </c>
      <c r="L346" s="646"/>
      <c r="M346" s="641"/>
    </row>
    <row r="347" spans="2:13" s="70" customFormat="1" ht="15" customHeight="1" x14ac:dyDescent="0.25">
      <c r="B347" s="1707"/>
      <c r="C347" s="668">
        <v>7110</v>
      </c>
      <c r="D347" s="663" t="str">
        <f>'1.7покраска'!K246</f>
        <v>Углеводороды предельные С12-С19</v>
      </c>
      <c r="E347" s="668" t="str">
        <f>'1.7покраска'!L246</f>
        <v>2754</v>
      </c>
      <c r="F347" s="166"/>
      <c r="G347" s="171"/>
      <c r="H347" s="130">
        <f>'1.7покраска'!M246</f>
        <v>0.6875</v>
      </c>
      <c r="I347" s="129">
        <f>'1.7покраска'!N246</f>
        <v>1.9330000000000001</v>
      </c>
      <c r="J347" s="122">
        <f>'1.7покраска'!M434</f>
        <v>0.16669999999999999</v>
      </c>
      <c r="K347" s="1056">
        <f>'1.7покраска'!N434</f>
        <v>1.55E-2</v>
      </c>
      <c r="L347" s="164"/>
      <c r="M347" s="127"/>
    </row>
    <row r="348" spans="2:13" s="70" customFormat="1" ht="15" customHeight="1" x14ac:dyDescent="0.25">
      <c r="B348" s="1707"/>
      <c r="C348" s="668"/>
      <c r="D348" s="663" t="str">
        <f>'1.7покраска'!K247</f>
        <v>Бутилацетат</v>
      </c>
      <c r="E348" s="668">
        <f>'1.7покраска'!L247</f>
        <v>1210</v>
      </c>
      <c r="F348" s="166"/>
      <c r="G348" s="167"/>
      <c r="H348" s="164">
        <f>'1.7покраска'!M247</f>
        <v>0.1361</v>
      </c>
      <c r="I348" s="127">
        <f>'1.7покраска'!N247</f>
        <v>0.15369999999999998</v>
      </c>
      <c r="J348" s="122">
        <f>'1.7покраска'!M430</f>
        <v>0.40310000000000001</v>
      </c>
      <c r="K348" s="1053">
        <f>'1.7покраска'!N430</f>
        <v>1.2259</v>
      </c>
      <c r="L348" s="164"/>
      <c r="M348" s="127"/>
    </row>
    <row r="349" spans="2:13" s="70" customFormat="1" ht="15" customHeight="1" x14ac:dyDescent="0.25">
      <c r="B349" s="1707"/>
      <c r="C349" s="668"/>
      <c r="D349" s="663" t="str">
        <f>'1.7покраска'!K248</f>
        <v>Ксилол</v>
      </c>
      <c r="E349" s="668" t="str">
        <f>'1.7покраска'!L248</f>
        <v>0616</v>
      </c>
      <c r="F349" s="166"/>
      <c r="G349" s="167"/>
      <c r="H349" s="164">
        <f>'1.7покраска'!M248</f>
        <v>0.1361</v>
      </c>
      <c r="I349" s="127">
        <f>'1.7покраска'!N248</f>
        <v>0.56605000000000005</v>
      </c>
      <c r="J349" s="122">
        <f>'1.7покраска'!M429</f>
        <v>0.15629999999999999</v>
      </c>
      <c r="K349" s="1053">
        <f>'1.7покраска'!N429</f>
        <v>0.13579000000000002</v>
      </c>
      <c r="L349" s="164"/>
      <c r="M349" s="127"/>
    </row>
    <row r="350" spans="2:13" s="70" customFormat="1" ht="15" customHeight="1" x14ac:dyDescent="0.25">
      <c r="B350" s="1707"/>
      <c r="C350" s="668"/>
      <c r="D350" s="663" t="str">
        <f>'1.7покраска'!K249</f>
        <v>Бутиловый спирт</v>
      </c>
      <c r="E350" s="668" t="str">
        <f>'1.7покраска'!L249</f>
        <v>1042</v>
      </c>
      <c r="F350" s="166"/>
      <c r="G350" s="167"/>
      <c r="H350" s="164">
        <f>'1.7покраска'!M249</f>
        <v>8.9599999999999999E-2</v>
      </c>
      <c r="I350" s="127">
        <f>'1.7покраска'!N249</f>
        <v>4.8599999999999997E-3</v>
      </c>
      <c r="J350" s="122">
        <f>'1.7покраска'!M431</f>
        <v>0.40310000000000001</v>
      </c>
      <c r="K350" s="1053">
        <f>'1.7покраска'!N431</f>
        <v>0.49036999999999997</v>
      </c>
      <c r="L350" s="164"/>
      <c r="M350" s="127"/>
    </row>
    <row r="351" spans="2:13" s="70" customFormat="1" ht="15" customHeight="1" x14ac:dyDescent="0.25">
      <c r="B351" s="1707"/>
      <c r="C351" s="668"/>
      <c r="D351" s="663" t="str">
        <f>'1.7покраска'!K250</f>
        <v>Этиловый спирт</v>
      </c>
      <c r="E351" s="668" t="str">
        <f>'1.7покраска'!L250</f>
        <v>1061</v>
      </c>
      <c r="F351" s="166"/>
      <c r="G351" s="167"/>
      <c r="H351" s="164">
        <f>'1.7покраска'!M250</f>
        <v>1.7899999999999999E-2</v>
      </c>
      <c r="I351" s="127">
        <f>'1.7покраска'!N250</f>
        <v>2.3999999999999998E-3</v>
      </c>
      <c r="J351" s="122">
        <f>'1.7покраска'!M433</f>
        <v>8.0600000000000005E-2</v>
      </c>
      <c r="K351" s="1053">
        <f>'1.7покраска'!N433</f>
        <v>0.24519999999999997</v>
      </c>
      <c r="L351" s="164"/>
      <c r="M351" s="127"/>
    </row>
    <row r="352" spans="2:13" s="70" customFormat="1" ht="15" customHeight="1" x14ac:dyDescent="0.25">
      <c r="B352" s="1707"/>
      <c r="C352" s="668"/>
      <c r="D352" s="663" t="str">
        <f>'1.7покраска'!K251</f>
        <v>Толуол</v>
      </c>
      <c r="E352" s="167" t="str">
        <f>'1.7покраска'!L251</f>
        <v>0621</v>
      </c>
      <c r="F352" s="166"/>
      <c r="G352" s="167"/>
      <c r="H352" s="164">
        <f>'1.7покраска'!M251</f>
        <v>3.5799999999999998E-2</v>
      </c>
      <c r="I352" s="127">
        <f>'1.7покраска'!N251</f>
        <v>4.8999999999999998E-3</v>
      </c>
      <c r="J352" s="122">
        <f>'1.7покраска'!M435</f>
        <v>0.1613</v>
      </c>
      <c r="K352" s="1053">
        <f>'1.7покраска'!N435</f>
        <v>0.49029999999999996</v>
      </c>
      <c r="L352" s="164"/>
      <c r="M352" s="127"/>
    </row>
    <row r="353" spans="2:13" s="70" customFormat="1" ht="15" customHeight="1" x14ac:dyDescent="0.25">
      <c r="B353" s="1707"/>
      <c r="C353" s="668"/>
      <c r="D353" s="663" t="str">
        <f>'1.7покраска'!K428</f>
        <v>Уайт-спирит</v>
      </c>
      <c r="E353" s="668" t="str">
        <f>'1.7покраска'!L428</f>
        <v>2752</v>
      </c>
      <c r="F353" s="166"/>
      <c r="G353" s="167"/>
      <c r="H353" s="164"/>
      <c r="I353" s="127"/>
      <c r="J353" s="122">
        <f>'1.7покраска'!M428</f>
        <v>0.55559999999999998</v>
      </c>
      <c r="K353" s="1053">
        <f>'1.7покраска'!N428</f>
        <v>0.66780000000000006</v>
      </c>
      <c r="L353" s="164"/>
      <c r="M353" s="127"/>
    </row>
    <row r="354" spans="2:13" s="70" customFormat="1" ht="15" customHeight="1" x14ac:dyDescent="0.25">
      <c r="B354" s="1707"/>
      <c r="C354" s="660"/>
      <c r="D354" s="664" t="str">
        <f>'1.7покраска'!K432</f>
        <v>Сольвент</v>
      </c>
      <c r="E354" s="660" t="str">
        <f>'1.7покраска'!L432</f>
        <v>2750</v>
      </c>
      <c r="F354" s="168"/>
      <c r="G354" s="169"/>
      <c r="H354" s="165"/>
      <c r="I354" s="128"/>
      <c r="J354" s="123">
        <f>'1.7покраска'!M432</f>
        <v>0.1389</v>
      </c>
      <c r="K354" s="1057">
        <f>'1.7покраска'!N432</f>
        <v>6.6E-3</v>
      </c>
      <c r="L354" s="165"/>
      <c r="M354" s="128"/>
    </row>
    <row r="355" spans="2:13" s="70" customFormat="1" ht="15" customHeight="1" x14ac:dyDescent="0.25">
      <c r="B355" s="1707"/>
      <c r="C355" s="668">
        <v>7111</v>
      </c>
      <c r="D355" s="663" t="str">
        <f>'1.8 сварка'!G219</f>
        <v>Фтористые газ.соед</v>
      </c>
      <c r="E355" s="668" t="str">
        <f>'1.8 сварка'!H219</f>
        <v>0342</v>
      </c>
      <c r="F355" s="166"/>
      <c r="G355" s="167"/>
      <c r="H355" s="130">
        <f>'1.8 сварка'!J219</f>
        <v>6.9999999999999999E-4</v>
      </c>
      <c r="I355" s="129">
        <f>'1.8 сварка'!K219</f>
        <v>1.5E-3</v>
      </c>
      <c r="J355" s="121">
        <f>'1.8 сварка'!J340</f>
        <v>5.5999999999999999E-3</v>
      </c>
      <c r="K355" s="1056">
        <f>'1.8 сварка'!K340</f>
        <v>8.6E-3</v>
      </c>
      <c r="L355" s="164"/>
      <c r="M355" s="127"/>
    </row>
    <row r="356" spans="2:13" s="70" customFormat="1" ht="15" customHeight="1" x14ac:dyDescent="0.25">
      <c r="B356" s="1707"/>
      <c r="C356" s="668"/>
      <c r="D356" s="663" t="str">
        <f>'1.8 сварка'!G220</f>
        <v>Диоксид азота</v>
      </c>
      <c r="E356" s="668" t="str">
        <f>'1.8 сварка'!H220</f>
        <v>0301</v>
      </c>
      <c r="F356" s="178"/>
      <c r="G356" s="167"/>
      <c r="H356" s="164">
        <f>'1.8 сварка'!J220</f>
        <v>1.5E-3</v>
      </c>
      <c r="I356" s="127">
        <f>'1.8 сварка'!K220</f>
        <v>3.0000000000000001E-3</v>
      </c>
      <c r="J356" s="122">
        <f>'1.8 сварка'!J341</f>
        <v>1.12E-2</v>
      </c>
      <c r="K356" s="1053">
        <f>'1.8 сварка'!K341</f>
        <v>1.7299999999999999E-2</v>
      </c>
      <c r="L356" s="164"/>
      <c r="M356" s="127"/>
    </row>
    <row r="357" spans="2:13" s="70" customFormat="1" ht="15" customHeight="1" x14ac:dyDescent="0.25">
      <c r="B357" s="1707"/>
      <c r="C357" s="668"/>
      <c r="D357" s="663" t="str">
        <f>'1.8 сварка'!G221</f>
        <v>Марганец и его соед.</v>
      </c>
      <c r="E357" s="668" t="str">
        <f>'1.8 сварка'!H221</f>
        <v>0143</v>
      </c>
      <c r="F357" s="178"/>
      <c r="G357" s="167"/>
      <c r="H357" s="164">
        <f>'1.8 сварка'!J221</f>
        <v>8.9999999999999998E-4</v>
      </c>
      <c r="I357" s="127">
        <f>'1.8 сварка'!K221</f>
        <v>1.8E-3</v>
      </c>
      <c r="J357" s="122">
        <f>'1.8 сварка'!J342</f>
        <v>6.8999999999999999E-3</v>
      </c>
      <c r="K357" s="1053">
        <f>'1.8 сварка'!K342</f>
        <v>1.06E-2</v>
      </c>
      <c r="L357" s="164"/>
      <c r="M357" s="127"/>
    </row>
    <row r="358" spans="2:13" s="70" customFormat="1" ht="15" customHeight="1" x14ac:dyDescent="0.25">
      <c r="B358" s="1707"/>
      <c r="C358" s="668"/>
      <c r="D358" s="663" t="str">
        <f>'1.8 сварка'!G222</f>
        <v>Фториды</v>
      </c>
      <c r="E358" s="668" t="str">
        <f>'1.8 сварка'!H222</f>
        <v>0344</v>
      </c>
      <c r="F358" s="178"/>
      <c r="G358" s="167"/>
      <c r="H358" s="164">
        <f>'1.8 сварка'!J222</f>
        <v>3.2000000000000002E-3</v>
      </c>
      <c r="I358" s="127">
        <f>'1.8 сварка'!K222</f>
        <v>6.6E-3</v>
      </c>
      <c r="J358" s="122">
        <f>'1.8 сварка'!J343</f>
        <v>2.46E-2</v>
      </c>
      <c r="K358" s="1053">
        <f>'1.8 сварка'!K343</f>
        <v>3.7999999999999999E-2</v>
      </c>
      <c r="L358" s="164"/>
      <c r="M358" s="127"/>
    </row>
    <row r="359" spans="2:13" s="70" customFormat="1" ht="15" customHeight="1" x14ac:dyDescent="0.25">
      <c r="B359" s="1707"/>
      <c r="C359" s="668"/>
      <c r="D359" s="663" t="str">
        <f>'1.8 сварка'!G223</f>
        <v>Железа оксид</v>
      </c>
      <c r="E359" s="668" t="str">
        <f>'1.8 сварка'!H223</f>
        <v>0123</v>
      </c>
      <c r="F359" s="178"/>
      <c r="G359" s="167"/>
      <c r="H359" s="164">
        <f>'1.8 сварка'!J223</f>
        <v>1.04E-2</v>
      </c>
      <c r="I359" s="127">
        <f>'1.8 сварка'!K223</f>
        <v>2.1299999999999999E-2</v>
      </c>
      <c r="J359" s="122">
        <f>'1.8 сварка'!J344</f>
        <v>7.9799999999999996E-2</v>
      </c>
      <c r="K359" s="1053">
        <f>'1.8 сварка'!K344</f>
        <v>0.12330000000000001</v>
      </c>
      <c r="L359" s="164"/>
      <c r="M359" s="127"/>
    </row>
    <row r="360" spans="2:13" s="70" customFormat="1" ht="15" customHeight="1" x14ac:dyDescent="0.25">
      <c r="B360" s="1707"/>
      <c r="C360" s="668"/>
      <c r="D360" s="663" t="str">
        <f>'1.8 сварка'!G224</f>
        <v>Пыль неорг.с сод-м SiO2 70-20 %</v>
      </c>
      <c r="E360" s="668">
        <f>'1.8 сварка'!H224</f>
        <v>2908</v>
      </c>
      <c r="F360" s="178"/>
      <c r="G360" s="167"/>
      <c r="H360" s="164">
        <f>'1.8 сварка'!J224</f>
        <v>1.4E-3</v>
      </c>
      <c r="I360" s="127">
        <f>'1.8 сварка'!K224</f>
        <v>2.8E-3</v>
      </c>
      <c r="J360" s="122">
        <f>'1.8 сварка'!J345</f>
        <v>1.0500000000000001E-2</v>
      </c>
      <c r="K360" s="1053">
        <f>'1.8 сварка'!K345</f>
        <v>1.61E-2</v>
      </c>
      <c r="L360" s="164"/>
      <c r="M360" s="127"/>
    </row>
    <row r="361" spans="2:13" s="70" customFormat="1" ht="15" customHeight="1" x14ac:dyDescent="0.25">
      <c r="B361" s="1707"/>
      <c r="C361" s="668"/>
      <c r="D361" s="663" t="str">
        <f>'1.8 сварка'!G225</f>
        <v>Оксид углерода</v>
      </c>
      <c r="E361" s="668" t="str">
        <f>'1.8 сварка'!H225</f>
        <v>0337</v>
      </c>
      <c r="F361" s="178"/>
      <c r="G361" s="167"/>
      <c r="H361" s="164">
        <f>'1.8 сварка'!J225+'1.9сварка полиэтилена'!H69</f>
        <v>1.2902200000000001E-2</v>
      </c>
      <c r="I361" s="127">
        <f>'1.8 сварка'!K225+'1.9сварка полиэтилена'!I69</f>
        <v>2.6502599999999998E-2</v>
      </c>
      <c r="J361" s="122">
        <f>'1.8 сварка'!J346+'1.9сварка полиэтилена'!H100</f>
        <v>9.9302199999999993E-2</v>
      </c>
      <c r="K361" s="1053">
        <f>'1.8 сварка'!K346+'1.9сварка полиэтилена'!I100</f>
        <v>0.15330237999999999</v>
      </c>
      <c r="L361" s="164"/>
      <c r="M361" s="127"/>
    </row>
    <row r="362" spans="2:13" s="70" customFormat="1" ht="15" customHeight="1" x14ac:dyDescent="0.25">
      <c r="B362" s="1707"/>
      <c r="C362" s="660"/>
      <c r="D362" s="664" t="str">
        <f>'1.9сварка полиэтилена'!F101</f>
        <v>Хлорэтилен /Винилхлорид/</v>
      </c>
      <c r="E362" s="660" t="str">
        <f>'1.9сварка полиэтилена'!G101</f>
        <v>0827</v>
      </c>
      <c r="F362" s="179"/>
      <c r="G362" s="169"/>
      <c r="H362" s="165">
        <f>'1.9сварка полиэтилена'!H70</f>
        <v>9.9999999999999995E-7</v>
      </c>
      <c r="I362" s="128">
        <f>'1.9сварка полиэтилена'!I70</f>
        <v>1.13E-6</v>
      </c>
      <c r="J362" s="123">
        <f>'1.9сварка полиэтилена'!H101</f>
        <v>8.9999999999999996E-7</v>
      </c>
      <c r="K362" s="1057">
        <f>'1.9сварка полиэтилена'!I101</f>
        <v>1.0300000000000001E-6</v>
      </c>
      <c r="L362" s="165"/>
      <c r="M362" s="128"/>
    </row>
    <row r="363" spans="2:13" s="131" customFormat="1" ht="15" customHeight="1" x14ac:dyDescent="0.25">
      <c r="B363" s="1707"/>
      <c r="C363" s="678">
        <v>7113</v>
      </c>
      <c r="D363" s="138" t="str">
        <f>'1.14битумные работы'!F29</f>
        <v>Углеводороды предельные С12-С19</v>
      </c>
      <c r="E363" s="679">
        <f>'1.14битумные работы'!G29</f>
        <v>2754</v>
      </c>
      <c r="F363" s="680"/>
      <c r="G363" s="679"/>
      <c r="H363" s="681">
        <f>'1.14битумные работы'!H29</f>
        <v>1.5900000000000001E-2</v>
      </c>
      <c r="I363" s="679">
        <f>'1.14битумные работы'!I29</f>
        <v>2.06E-2</v>
      </c>
      <c r="J363" s="680"/>
      <c r="K363" s="1066"/>
      <c r="L363" s="681"/>
      <c r="M363" s="679"/>
    </row>
    <row r="364" spans="2:13" s="131" customFormat="1" ht="15" customHeight="1" x14ac:dyDescent="0.25">
      <c r="B364" s="1707"/>
      <c r="C364" s="648">
        <v>7114</v>
      </c>
      <c r="D364" s="633" t="str">
        <f>'1.13топливозаправщик'!K126</f>
        <v>Углеводороды предельные С12-С19</v>
      </c>
      <c r="E364" s="648">
        <f>'1.13топливозаправщик'!L126</f>
        <v>2754</v>
      </c>
      <c r="F364" s="677"/>
      <c r="G364" s="648"/>
      <c r="H364" s="649">
        <f>'1.13топливозаправщик'!N126</f>
        <v>6.3E-3</v>
      </c>
      <c r="I364" s="650">
        <f>'1.13топливозаправщик'!O126</f>
        <v>2.9399999999999999E-3</v>
      </c>
      <c r="J364" s="677">
        <f>'1.13топливозаправщик'!N172</f>
        <v>6.3E-3</v>
      </c>
      <c r="K364" s="1058">
        <f>'1.13топливозаправщик'!O172</f>
        <v>1.39E-3</v>
      </c>
      <c r="L364" s="629">
        <f>'1.13топливозаправщик'!N194</f>
        <v>6.3E-3</v>
      </c>
      <c r="M364" s="630">
        <f>'1.13топливозаправщик'!O194</f>
        <v>6.9999999999999994E-5</v>
      </c>
    </row>
    <row r="365" spans="2:13" s="131" customFormat="1" ht="15" customHeight="1" x14ac:dyDescent="0.25">
      <c r="B365" s="1708"/>
      <c r="C365" s="648"/>
      <c r="D365" s="633" t="str">
        <f>'1.13топливозаправщик'!K127</f>
        <v>Сероводород</v>
      </c>
      <c r="E365" s="648" t="str">
        <f>'1.13топливозаправщик'!L127</f>
        <v>0333</v>
      </c>
      <c r="F365" s="677"/>
      <c r="G365" s="634"/>
      <c r="H365" s="649">
        <f>'1.13топливозаправщик'!N127</f>
        <v>2.0000000000000002E-5</v>
      </c>
      <c r="I365" s="650">
        <f>'1.13топливозаправщик'!O127</f>
        <v>7.9999999999999996E-6</v>
      </c>
      <c r="J365" s="677">
        <f>'1.13топливозаправщик'!N173</f>
        <v>2.0000000000000002E-5</v>
      </c>
      <c r="K365" s="1062">
        <f>'1.13топливозаправщик'!O173</f>
        <v>3.9999999999999998E-6</v>
      </c>
      <c r="L365" s="635">
        <f>'1.13топливозаправщик'!N195</f>
        <v>2.0000000000000002E-5</v>
      </c>
      <c r="M365" s="636">
        <f>'1.13топливозаправщик'!O195</f>
        <v>1.9999999999999999E-7</v>
      </c>
    </row>
    <row r="366" spans="2:13" s="105" customFormat="1" ht="15" customHeight="1" x14ac:dyDescent="0.25">
      <c r="B366" s="1706" t="s">
        <v>302</v>
      </c>
      <c r="C366" s="670">
        <v>7115</v>
      </c>
      <c r="D366" s="652" t="str">
        <f>'1.1 снятие ТГ бульдозер'!M76</f>
        <v>Пыль неорг.с сод-м SiO2 70-20%</v>
      </c>
      <c r="E366" s="653">
        <f>'1.1 снятие ТГ бульдозер'!N76</f>
        <v>2908</v>
      </c>
      <c r="F366" s="646"/>
      <c r="G366" s="653"/>
      <c r="H366" s="646"/>
      <c r="I366" s="641"/>
      <c r="J366" s="654">
        <f>'1.1 снятие ТГ бульдозер'!O76+'1.2погрузка экскаватором'!O119+'1.3земляные работы'!Q315</f>
        <v>0.31140000000000001</v>
      </c>
      <c r="K366" s="658">
        <f>'1.1 снятие ТГ бульдозер'!P76+'1.2погрузка экскаватором'!P119+'1.3земляные работы'!R315</f>
        <v>0.12110000000000001</v>
      </c>
      <c r="L366" s="646">
        <f>'1.1 снятие ТГ бульдозер'!O81+'1.2погрузка экскаватором'!O128+'1.3земляные работы'!Q340</f>
        <v>0.31870000000000004</v>
      </c>
      <c r="M366" s="641">
        <f>'1.1 снятие ТГ бульдозер'!P81+'1.2погрузка экскаватором'!P128+'1.3земляные работы'!R340</f>
        <v>0.11779999999999999</v>
      </c>
    </row>
    <row r="367" spans="2:13" s="105" customFormat="1" ht="15" customHeight="1" x14ac:dyDescent="0.25">
      <c r="B367" s="1707"/>
      <c r="C367" s="670">
        <v>7116</v>
      </c>
      <c r="D367" s="652" t="str">
        <f>'1.4 транспортирование'!R224</f>
        <v>Пыль неорг. с сод-м SiO2 70-20%</v>
      </c>
      <c r="E367" s="653">
        <f>'1.4 транспортирование'!S224</f>
        <v>2908</v>
      </c>
      <c r="F367" s="654"/>
      <c r="G367" s="641"/>
      <c r="H367" s="646"/>
      <c r="I367" s="641"/>
      <c r="J367" s="654">
        <f>'1.4 транспортирование'!T224</f>
        <v>3.0000000000000001E-3</v>
      </c>
      <c r="K367" s="1061">
        <f>'1.4 транспортирование'!U224</f>
        <v>3.5999999999999999E-3</v>
      </c>
      <c r="L367" s="646">
        <f>'1.4 транспортирование'!T236</f>
        <v>5.3E-3</v>
      </c>
      <c r="M367" s="641">
        <f>'1.4 транспортирование'!U236</f>
        <v>5.6999999999999993E-3</v>
      </c>
    </row>
    <row r="368" spans="2:13" s="105" customFormat="1" ht="15" customHeight="1" x14ac:dyDescent="0.25">
      <c r="B368" s="1707"/>
      <c r="C368" s="671">
        <v>7117</v>
      </c>
      <c r="D368" s="674" t="str">
        <f>'1.6укладка асфальтобетона'!F38</f>
        <v>Углеводороды  предельные С12-С19</v>
      </c>
      <c r="E368" s="662" t="str">
        <f>'1.6укладка асфальтобетона'!G38</f>
        <v>2754</v>
      </c>
      <c r="F368" s="177"/>
      <c r="G368" s="171"/>
      <c r="H368" s="170"/>
      <c r="I368" s="171"/>
      <c r="J368" s="177">
        <f>'1.6укладка асфальтобетона'!H38</f>
        <v>0.14810000000000001</v>
      </c>
      <c r="K368" s="1063">
        <f>'1.6укладка асфальтобетона'!I38</f>
        <v>0.44800000000000001</v>
      </c>
      <c r="L368" s="170">
        <f>'1.6укладка асфальтобетона'!H43</f>
        <v>0.23880000000000001</v>
      </c>
      <c r="M368" s="171">
        <f>'1.6укладка асфальтобетона'!I43</f>
        <v>0.72199999999999998</v>
      </c>
    </row>
    <row r="369" spans="2:13" s="105" customFormat="1" ht="15" customHeight="1" x14ac:dyDescent="0.25">
      <c r="B369" s="1707"/>
      <c r="C369" s="660"/>
      <c r="D369" s="682" t="str">
        <f>'1.5пересыпка материалов'!N134</f>
        <v>Пыль неорг.с сод-м SiO2 70-20%</v>
      </c>
      <c r="E369" s="665" t="str">
        <f>'1.5пересыпка материалов'!O134</f>
        <v>2908</v>
      </c>
      <c r="F369" s="168"/>
      <c r="G369" s="169"/>
      <c r="H369" s="168"/>
      <c r="I369" s="169"/>
      <c r="J369" s="179">
        <f>'1.5пересыпка материалов'!Q134</f>
        <v>2.3E-3</v>
      </c>
      <c r="K369" s="1060">
        <f>'1.5пересыпка материалов'!R134</f>
        <v>5.9000000000000007E-3</v>
      </c>
      <c r="L369" s="168">
        <f>'1.5пересыпка материалов'!Q141</f>
        <v>4.7000000000000002E-3</v>
      </c>
      <c r="M369" s="169">
        <f>'1.5пересыпка материалов'!R141</f>
        <v>1.3299999999999999E-2</v>
      </c>
    </row>
    <row r="370" spans="2:13" s="70" customFormat="1" ht="15" customHeight="1" x14ac:dyDescent="0.25">
      <c r="B370" s="1707"/>
      <c r="C370" s="668">
        <v>7118</v>
      </c>
      <c r="D370" s="663" t="str">
        <f>'1.8 сварка'!G381</f>
        <v>Фтористые газ.соед</v>
      </c>
      <c r="E370" s="668" t="str">
        <f>'1.8 сварка'!H381</f>
        <v>0342</v>
      </c>
      <c r="F370" s="166"/>
      <c r="G370" s="167"/>
      <c r="H370" s="164"/>
      <c r="I370" s="127"/>
      <c r="J370" s="122"/>
      <c r="K370" s="1053"/>
      <c r="L370" s="164">
        <f>'1.8 сварка'!J381</f>
        <v>1.9999999999999999E-6</v>
      </c>
      <c r="M370" s="127">
        <f>'1.8 сварка'!K381</f>
        <v>9.9999999999999995E-7</v>
      </c>
    </row>
    <row r="371" spans="2:13" s="70" customFormat="1" ht="15" customHeight="1" x14ac:dyDescent="0.25">
      <c r="B371" s="1707"/>
      <c r="C371" s="668"/>
      <c r="D371" s="663" t="str">
        <f>'1.8 сварка'!G382</f>
        <v>Диоксид азота</v>
      </c>
      <c r="E371" s="668" t="str">
        <f>'1.8 сварка'!H382</f>
        <v>0301</v>
      </c>
      <c r="F371" s="166"/>
      <c r="G371" s="167"/>
      <c r="H371" s="164"/>
      <c r="I371" s="127"/>
      <c r="J371" s="122"/>
      <c r="K371" s="1053"/>
      <c r="L371" s="164">
        <f>'1.8 сварка'!J382</f>
        <v>3.9999999999999998E-6</v>
      </c>
      <c r="M371" s="127">
        <f>'1.8 сварка'!K382</f>
        <v>1.9999999999999999E-6</v>
      </c>
    </row>
    <row r="372" spans="2:13" s="70" customFormat="1" ht="15" customHeight="1" x14ac:dyDescent="0.25">
      <c r="B372" s="1707"/>
      <c r="C372" s="668"/>
      <c r="D372" s="663" t="str">
        <f>'1.8 сварка'!G383</f>
        <v>Марганец и его соед.</v>
      </c>
      <c r="E372" s="668" t="str">
        <f>'1.8 сварка'!H383</f>
        <v>0143</v>
      </c>
      <c r="F372" s="166"/>
      <c r="G372" s="167"/>
      <c r="H372" s="164"/>
      <c r="I372" s="127"/>
      <c r="J372" s="122"/>
      <c r="K372" s="1053"/>
      <c r="L372" s="164">
        <f>'1.8 сварка'!J383</f>
        <v>3.0000000000000001E-6</v>
      </c>
      <c r="M372" s="127">
        <f>'1.8 сварка'!K383</f>
        <v>9.9999999999999995E-7</v>
      </c>
    </row>
    <row r="373" spans="2:13" s="70" customFormat="1" ht="15" customHeight="1" x14ac:dyDescent="0.25">
      <c r="B373" s="1707"/>
      <c r="C373" s="668"/>
      <c r="D373" s="663" t="str">
        <f>'1.8 сварка'!G384</f>
        <v>Фториды</v>
      </c>
      <c r="E373" s="668" t="str">
        <f>'1.8 сварка'!H384</f>
        <v>0344</v>
      </c>
      <c r="F373" s="166"/>
      <c r="G373" s="167"/>
      <c r="H373" s="164"/>
      <c r="I373" s="127"/>
      <c r="J373" s="122"/>
      <c r="K373" s="1053"/>
      <c r="L373" s="164">
        <f>'1.8 сварка'!J384</f>
        <v>1.0000000000000001E-5</v>
      </c>
      <c r="M373" s="127">
        <f>'1.8 сварка'!K384</f>
        <v>3.9999999999999998E-6</v>
      </c>
    </row>
    <row r="374" spans="2:13" s="70" customFormat="1" ht="15" customHeight="1" x14ac:dyDescent="0.25">
      <c r="B374" s="1707"/>
      <c r="C374" s="668"/>
      <c r="D374" s="663" t="str">
        <f>'1.8 сварка'!G385</f>
        <v>Железа оксид</v>
      </c>
      <c r="E374" s="668" t="str">
        <f>'1.8 сварка'!H385</f>
        <v>0123</v>
      </c>
      <c r="F374" s="166"/>
      <c r="G374" s="167"/>
      <c r="H374" s="164"/>
      <c r="I374" s="127"/>
      <c r="J374" s="122"/>
      <c r="K374" s="1053"/>
      <c r="L374" s="164">
        <f>'1.8 сварка'!J385</f>
        <v>3.0000000000000001E-5</v>
      </c>
      <c r="M374" s="127">
        <f>'1.8 сварка'!K385</f>
        <v>1.2E-5</v>
      </c>
    </row>
    <row r="375" spans="2:13" s="70" customFormat="1" ht="15" customHeight="1" x14ac:dyDescent="0.25">
      <c r="B375" s="1707"/>
      <c r="C375" s="668"/>
      <c r="D375" s="663" t="str">
        <f>'1.8 сварка'!G386</f>
        <v>Пыль неорг.с сод-м SiO2 70-20 %</v>
      </c>
      <c r="E375" s="668">
        <f>'1.8 сварка'!H386</f>
        <v>2908</v>
      </c>
      <c r="F375" s="166"/>
      <c r="G375" s="167"/>
      <c r="H375" s="164"/>
      <c r="I375" s="127"/>
      <c r="J375" s="122"/>
      <c r="K375" s="1053"/>
      <c r="L375" s="164">
        <f>'1.8 сварка'!J386</f>
        <v>3.9999999999999998E-6</v>
      </c>
      <c r="M375" s="127">
        <f>'1.8 сварка'!K386</f>
        <v>1.9999999999999999E-6</v>
      </c>
    </row>
    <row r="376" spans="2:13" s="70" customFormat="1" ht="15" customHeight="1" x14ac:dyDescent="0.25">
      <c r="B376" s="1707"/>
      <c r="C376" s="660"/>
      <c r="D376" s="664" t="str">
        <f>'1.8 сварка'!G387</f>
        <v>Оксид углерода</v>
      </c>
      <c r="E376" s="660" t="str">
        <f>'1.8 сварка'!H387</f>
        <v>0337</v>
      </c>
      <c r="F376" s="168"/>
      <c r="G376" s="169"/>
      <c r="H376" s="165"/>
      <c r="I376" s="128"/>
      <c r="J376" s="123"/>
      <c r="K376" s="1057"/>
      <c r="L376" s="165">
        <f>'1.8 сварка'!J387</f>
        <v>4.0000000000000003E-5</v>
      </c>
      <c r="M376" s="128">
        <f>'1.8 сварка'!K387</f>
        <v>1.5E-5</v>
      </c>
    </row>
    <row r="377" spans="2:13" s="70" customFormat="1" ht="15" customHeight="1" x14ac:dyDescent="0.25">
      <c r="B377" s="1707"/>
      <c r="C377" s="668">
        <v>7119</v>
      </c>
      <c r="D377" s="674" t="str">
        <f>'1.10 ДЭС и буровые установки'!K86</f>
        <v>Углерода оксид</v>
      </c>
      <c r="E377" s="738" t="str">
        <f>'1.10 ДЭС и буровые установки'!L86</f>
        <v>0337</v>
      </c>
      <c r="F377" s="170"/>
      <c r="G377" s="171"/>
      <c r="H377" s="130"/>
      <c r="I377" s="129"/>
      <c r="J377" s="121"/>
      <c r="K377" s="1056"/>
      <c r="L377" s="121">
        <f>'1.10 ДЭС и буровые установки'!M86</f>
        <v>0.29110000000000003</v>
      </c>
      <c r="M377" s="69">
        <f>'1.10 ДЭС и буровые установки'!N86</f>
        <v>2.8299999999999999E-2</v>
      </c>
    </row>
    <row r="378" spans="2:13" s="70" customFormat="1" ht="15" customHeight="1" x14ac:dyDescent="0.25">
      <c r="B378" s="1707"/>
      <c r="C378" s="668"/>
      <c r="D378" s="644" t="str">
        <f>'1.10 ДЭС и буровые установки'!K87</f>
        <v>Азота диоксид</v>
      </c>
      <c r="E378" s="733" t="str">
        <f>'1.10 ДЭС и буровые установки'!L87</f>
        <v>0301</v>
      </c>
      <c r="F378" s="166"/>
      <c r="G378" s="167"/>
      <c r="H378" s="164"/>
      <c r="I378" s="127"/>
      <c r="J378" s="122"/>
      <c r="K378" s="1053"/>
      <c r="L378" s="122">
        <f>'1.10 ДЭС и буровые установки'!M87</f>
        <v>0.36049999999999999</v>
      </c>
      <c r="M378" s="69">
        <f>'1.10 ДЭС и буровые установки'!N87</f>
        <v>3.49E-2</v>
      </c>
    </row>
    <row r="379" spans="2:13" s="70" customFormat="1" ht="15" customHeight="1" x14ac:dyDescent="0.25">
      <c r="B379" s="1707"/>
      <c r="C379" s="668"/>
      <c r="D379" s="644" t="str">
        <f>'1.10 ДЭС и буровые установки'!K88</f>
        <v>Азота оксид</v>
      </c>
      <c r="E379" s="733" t="str">
        <f>'1.10 ДЭС и буровые установки'!L88</f>
        <v>0304</v>
      </c>
      <c r="F379" s="166"/>
      <c r="G379" s="167"/>
      <c r="H379" s="164"/>
      <c r="I379" s="127"/>
      <c r="J379" s="122"/>
      <c r="K379" s="1053"/>
      <c r="L379" s="122">
        <f>'1.10 ДЭС и буровые установки'!M88</f>
        <v>5.8599999999999999E-2</v>
      </c>
      <c r="M379" s="69">
        <f>'1.10 ДЭС и буровые установки'!N88</f>
        <v>5.7000000000000002E-3</v>
      </c>
    </row>
    <row r="380" spans="2:13" s="70" customFormat="1" ht="15" customHeight="1" x14ac:dyDescent="0.25">
      <c r="B380" s="1707"/>
      <c r="C380" s="668"/>
      <c r="D380" s="644" t="str">
        <f>'1.10 ДЭС и буровые установки'!K89</f>
        <v>Углеводороды</v>
      </c>
      <c r="E380" s="733">
        <f>'1.10 ДЭС и буровые установки'!L89</f>
        <v>2754</v>
      </c>
      <c r="F380" s="166"/>
      <c r="G380" s="167"/>
      <c r="H380" s="164"/>
      <c r="I380" s="127"/>
      <c r="J380" s="122"/>
      <c r="K380" s="1053"/>
      <c r="L380" s="122">
        <f>'1.10 ДЭС и буровые установки'!M89</f>
        <v>0.1361</v>
      </c>
      <c r="M380" s="69">
        <f>'1.10 ДЭС и буровые установки'!N89</f>
        <v>1.3100000000000001E-2</v>
      </c>
    </row>
    <row r="381" spans="2:13" s="70" customFormat="1" ht="15" customHeight="1" x14ac:dyDescent="0.25">
      <c r="B381" s="1707"/>
      <c r="C381" s="668"/>
      <c r="D381" s="644" t="str">
        <f>'1.10 ДЭС и буровые установки'!K90</f>
        <v>Углерод черный</v>
      </c>
      <c r="E381" s="733" t="str">
        <f>'1.10 ДЭС и буровые установки'!L90</f>
        <v>0328</v>
      </c>
      <c r="F381" s="166"/>
      <c r="G381" s="167"/>
      <c r="H381" s="164"/>
      <c r="I381" s="127"/>
      <c r="J381" s="122"/>
      <c r="K381" s="1053"/>
      <c r="L381" s="122">
        <f>'1.10 ДЭС и буровые установки'!M90</f>
        <v>2.35E-2</v>
      </c>
      <c r="M381" s="69">
        <f>'1.10 ДЭС и буровые установки'!N90</f>
        <v>2.2000000000000001E-3</v>
      </c>
    </row>
    <row r="382" spans="2:13" s="70" customFormat="1" ht="15" customHeight="1" x14ac:dyDescent="0.25">
      <c r="B382" s="1707"/>
      <c r="C382" s="668"/>
      <c r="D382" s="644" t="str">
        <f>'1.10 ДЭС и буровые установки'!K91</f>
        <v>Сернистый ангидрид</v>
      </c>
      <c r="E382" s="733" t="str">
        <f>'1.10 ДЭС и буровые установки'!L91</f>
        <v>0330</v>
      </c>
      <c r="F382" s="166"/>
      <c r="G382" s="167"/>
      <c r="H382" s="164"/>
      <c r="I382" s="127"/>
      <c r="J382" s="122"/>
      <c r="K382" s="1053"/>
      <c r="L382" s="122">
        <f>'1.10 ДЭС и буровые установки'!M91</f>
        <v>5.6300000000000003E-2</v>
      </c>
      <c r="M382" s="69">
        <f>'1.10 ДЭС и буровые установки'!N91</f>
        <v>5.4999999999999997E-3</v>
      </c>
    </row>
    <row r="383" spans="2:13" s="70" customFormat="1" ht="15" customHeight="1" x14ac:dyDescent="0.25">
      <c r="B383" s="1707"/>
      <c r="C383" s="668"/>
      <c r="D383" s="644" t="str">
        <f>'1.10 ДЭС и буровые установки'!K92</f>
        <v>Формальдегид</v>
      </c>
      <c r="E383" s="733" t="str">
        <f>'1.10 ДЭС и буровые установки'!L92</f>
        <v>1325</v>
      </c>
      <c r="F383" s="166"/>
      <c r="G383" s="167"/>
      <c r="H383" s="164"/>
      <c r="I383" s="127"/>
      <c r="J383" s="122"/>
      <c r="K383" s="1053"/>
      <c r="L383" s="122">
        <f>'1.10 ДЭС и буровые установки'!M92</f>
        <v>5.5999999999999999E-3</v>
      </c>
      <c r="M383" s="69">
        <f>'1.10 ДЭС и буровые установки'!N92</f>
        <v>5.5000000000000003E-4</v>
      </c>
    </row>
    <row r="384" spans="2:13" s="70" customFormat="1" ht="15" customHeight="1" x14ac:dyDescent="0.25">
      <c r="B384" s="1707"/>
      <c r="C384" s="668"/>
      <c r="D384" s="644" t="str">
        <f>'1.10 ДЭС и буровые установки'!K93</f>
        <v>Бенз(а)пирен</v>
      </c>
      <c r="E384" s="732" t="str">
        <f>'1.10 ДЭС и буровые установки'!L93</f>
        <v>0703</v>
      </c>
      <c r="F384" s="166"/>
      <c r="G384" s="167"/>
      <c r="H384" s="164"/>
      <c r="I384" s="127"/>
      <c r="J384" s="122"/>
      <c r="K384" s="1053"/>
      <c r="L384" s="122">
        <f>'1.10 ДЭС и буровые установки'!M93</f>
        <v>5.9999999999999997E-7</v>
      </c>
      <c r="M384" s="69">
        <f>'1.10 ДЭС и буровые установки'!N93</f>
        <v>9.9999999999999995E-8</v>
      </c>
    </row>
    <row r="385" spans="2:13" s="70" customFormat="1" ht="15" customHeight="1" x14ac:dyDescent="0.25">
      <c r="B385" s="1707"/>
      <c r="C385" s="660"/>
      <c r="D385" s="664" t="str">
        <f>'1.11бурение'!H35</f>
        <v>Пыль неорг.с сод-м SiO2 70-20%</v>
      </c>
      <c r="E385" s="660">
        <f>'1.11бурение'!I35</f>
        <v>2908</v>
      </c>
      <c r="F385" s="179"/>
      <c r="G385" s="169"/>
      <c r="H385" s="165"/>
      <c r="I385" s="128"/>
      <c r="J385" s="123"/>
      <c r="K385" s="1057"/>
      <c r="L385" s="165">
        <f>'1.11бурение'!J35</f>
        <v>0.11</v>
      </c>
      <c r="M385" s="128">
        <f>'1.11бурение'!K35</f>
        <v>0.33260000000000001</v>
      </c>
    </row>
    <row r="386" spans="2:13" s="131" customFormat="1" ht="15" customHeight="1" x14ac:dyDescent="0.25">
      <c r="B386" s="1707"/>
      <c r="C386" s="648">
        <v>7120</v>
      </c>
      <c r="D386" s="633" t="str">
        <f>'1.13топливозаправщик'!K197</f>
        <v>Углеводороды предельные С12-С19</v>
      </c>
      <c r="E386" s="648">
        <f>'1.13топливозаправщик'!L197</f>
        <v>2754</v>
      </c>
      <c r="F386" s="677"/>
      <c r="G386" s="648"/>
      <c r="H386" s="649"/>
      <c r="I386" s="650"/>
      <c r="J386" s="677">
        <f>'1.13топливозаправщик'!N175</f>
        <v>6.3E-3</v>
      </c>
      <c r="K386" s="1058">
        <f>'1.13топливозаправщик'!O175</f>
        <v>7.2999999999999996E-4</v>
      </c>
      <c r="L386" s="649">
        <f>'1.13топливозаправщик'!N197</f>
        <v>6.3E-3</v>
      </c>
      <c r="M386" s="650">
        <f>'1.13топливозаправщик'!O197</f>
        <v>1.2700000000000001E-3</v>
      </c>
    </row>
    <row r="387" spans="2:13" s="131" customFormat="1" ht="15" customHeight="1" x14ac:dyDescent="0.25">
      <c r="B387" s="1708"/>
      <c r="C387" s="632"/>
      <c r="D387" s="639" t="str">
        <f>'1.13топливозаправщик'!K198</f>
        <v>Сероводород</v>
      </c>
      <c r="E387" s="632" t="str">
        <f>'1.13топливозаправщик'!L198</f>
        <v>0333</v>
      </c>
      <c r="F387" s="637"/>
      <c r="G387" s="722"/>
      <c r="H387" s="635"/>
      <c r="I387" s="636"/>
      <c r="J387" s="677">
        <f>'1.13топливозаправщик'!N176</f>
        <v>2.0000000000000002E-5</v>
      </c>
      <c r="K387" s="1059">
        <f>'1.13топливозаправщик'!O176</f>
        <v>1.9999999999999999E-6</v>
      </c>
      <c r="L387" s="635">
        <f>'1.13топливозаправщик'!N198</f>
        <v>2.0000000000000002E-5</v>
      </c>
      <c r="M387" s="636">
        <f>'1.13топливозаправщик'!O198</f>
        <v>3.9999999999999998E-6</v>
      </c>
    </row>
    <row r="388" spans="2:13" s="131" customFormat="1" ht="33.75" customHeight="1" x14ac:dyDescent="0.25">
      <c r="B388" s="1709" t="s">
        <v>1063</v>
      </c>
      <c r="C388" s="678">
        <v>7121</v>
      </c>
      <c r="D388" s="138" t="str">
        <f>'1.1 снятие ТГ бульдозер'!M58</f>
        <v>Пыль неорг.с сод-м SiO2 70-20%</v>
      </c>
      <c r="E388" s="685">
        <f>'1.1 снятие ТГ бульдозер'!N58</f>
        <v>2908</v>
      </c>
      <c r="F388" s="681">
        <f>'1.1 снятие ТГ бульдозер'!O58+'1.2погрузка экскаватором'!O65+'1.3земляные работы'!Q133</f>
        <v>0.31870000000000004</v>
      </c>
      <c r="G388" s="679">
        <f>'1.1 снятие ТГ бульдозер'!P58+'1.2погрузка экскаватором'!P65+'1.3земляные работы'!R133</f>
        <v>4.5710000000000001E-2</v>
      </c>
      <c r="H388" s="681"/>
      <c r="I388" s="679"/>
      <c r="J388" s="680"/>
      <c r="K388" s="1066"/>
      <c r="L388" s="681"/>
      <c r="M388" s="679"/>
    </row>
    <row r="389" spans="2:13" s="131" customFormat="1" ht="33" customHeight="1" x14ac:dyDescent="0.25">
      <c r="B389" s="1710"/>
      <c r="C389" s="648">
        <v>7034</v>
      </c>
      <c r="D389" s="633" t="str">
        <f>'1.4 транспортирование'!R93</f>
        <v>Пыль неорг. с сод-м SiO2 70-20%</v>
      </c>
      <c r="E389" s="634">
        <f>'1.4 транспортирование'!S93</f>
        <v>2908</v>
      </c>
      <c r="F389" s="635">
        <f>'1.4 транспортирование'!T93</f>
        <v>5.0000000000000001E-3</v>
      </c>
      <c r="G389" s="636">
        <f>'1.4 транспортирование'!U93</f>
        <v>2.0799999999999998E-3</v>
      </c>
      <c r="H389" s="649"/>
      <c r="I389" s="650"/>
      <c r="J389" s="677"/>
      <c r="K389" s="1062"/>
      <c r="L389" s="649"/>
      <c r="M389" s="650"/>
    </row>
    <row r="390" spans="2:13" s="131" customFormat="1" ht="27" customHeight="1" x14ac:dyDescent="0.25">
      <c r="B390" s="1710"/>
      <c r="C390" s="626">
        <v>7041</v>
      </c>
      <c r="D390" s="627" t="str">
        <f>'1.13топливозаправщик'!K80</f>
        <v>Углеводороды предельные С12-С19</v>
      </c>
      <c r="E390" s="626">
        <f>'1.13топливозаправщик'!L80</f>
        <v>2754</v>
      </c>
      <c r="F390" s="629">
        <f>'1.13топливозаправщик'!N80</f>
        <v>6.3E-3</v>
      </c>
      <c r="G390" s="630">
        <f>'1.13топливозаправщик'!O80</f>
        <v>8.4999999999999995E-4</v>
      </c>
      <c r="H390" s="629"/>
      <c r="I390" s="630"/>
      <c r="J390" s="631"/>
      <c r="K390" s="1058"/>
      <c r="L390" s="629"/>
      <c r="M390" s="630"/>
    </row>
    <row r="391" spans="2:13" s="131" customFormat="1" ht="24.75" customHeight="1" x14ac:dyDescent="0.25">
      <c r="B391" s="1710"/>
      <c r="C391" s="632"/>
      <c r="D391" s="639" t="str">
        <f>'1.13топливозаправщик'!K81</f>
        <v>Сероводород</v>
      </c>
      <c r="E391" s="632" t="str">
        <f>'1.13топливозаправщик'!L81</f>
        <v>0333</v>
      </c>
      <c r="F391" s="635">
        <f>'1.13топливозаправщик'!N81</f>
        <v>2.0000000000000002E-5</v>
      </c>
      <c r="G391" s="636">
        <f>'1.13топливозаправщик'!O81</f>
        <v>1.9999999999999999E-6</v>
      </c>
      <c r="H391" s="635"/>
      <c r="I391" s="636"/>
      <c r="J391" s="637"/>
      <c r="K391" s="1059"/>
      <c r="L391" s="635"/>
      <c r="M391" s="636"/>
    </row>
    <row r="392" spans="2:13" s="131" customFormat="1" ht="27" customHeight="1" x14ac:dyDescent="0.25">
      <c r="B392" s="1709" t="s">
        <v>915</v>
      </c>
      <c r="C392" s="626">
        <v>7052</v>
      </c>
      <c r="D392" s="627" t="str">
        <f>'1.12.1склад техног грунта'!U48</f>
        <v>Пыль неорг.с сод-м SiO2 70-20%</v>
      </c>
      <c r="E392" s="628">
        <f>'1.12.1склад техног грунта'!V48</f>
        <v>2908</v>
      </c>
      <c r="F392" s="629">
        <f>'1.12.1склад техног грунта'!X48</f>
        <v>0.17550000000000002</v>
      </c>
      <c r="G392" s="630">
        <f>'1.12.1склад техног грунта'!Y48</f>
        <v>0.65149999999999997</v>
      </c>
      <c r="H392" s="629">
        <f>'1.12.1склад техног грунта'!X53</f>
        <v>0.11</v>
      </c>
      <c r="I392" s="630">
        <f>'1.12.1склад техног грунта'!Y53</f>
        <v>0.47270000000000001</v>
      </c>
      <c r="J392" s="631">
        <f>'1.12.1склад техног грунта'!X59</f>
        <v>0.1653</v>
      </c>
      <c r="K392" s="1058">
        <f>'1.12.1склад техног грунта'!Y59</f>
        <v>0.71009999999999995</v>
      </c>
      <c r="L392" s="629">
        <f>'1.12.1склад техног грунта'!X64</f>
        <v>6.7099999999999993E-2</v>
      </c>
      <c r="M392" s="630">
        <f>'1.12.1склад техног грунта'!Y64</f>
        <v>0.33750000000000002</v>
      </c>
    </row>
    <row r="393" spans="2:13" s="131" customFormat="1" ht="27" customHeight="1" x14ac:dyDescent="0.25">
      <c r="B393" s="1710"/>
      <c r="C393" s="648"/>
      <c r="D393" s="633" t="str">
        <f>'1.13топливозаправщик'!K77</f>
        <v>Углеводороды предельные С12-С19</v>
      </c>
      <c r="E393" s="648">
        <f>'1.13топливозаправщик'!L77</f>
        <v>2754</v>
      </c>
      <c r="F393" s="649">
        <f>'1.13топливозаправщик'!N77</f>
        <v>6.3E-3</v>
      </c>
      <c r="G393" s="650">
        <f>'1.13топливозаправщик'!O77</f>
        <v>8.8999999999999995E-4</v>
      </c>
      <c r="H393" s="649"/>
      <c r="I393" s="650"/>
      <c r="J393" s="677"/>
      <c r="K393" s="1062"/>
      <c r="L393" s="649"/>
      <c r="M393" s="650"/>
    </row>
    <row r="394" spans="2:13" s="131" customFormat="1" ht="27" customHeight="1" x14ac:dyDescent="0.25">
      <c r="B394" s="1711"/>
      <c r="C394" s="632"/>
      <c r="D394" s="633" t="str">
        <f>'1.13топливозаправщик'!K78</f>
        <v>Сероводород</v>
      </c>
      <c r="E394" s="648" t="str">
        <f>'1.13топливозаправщик'!L78</f>
        <v>0333</v>
      </c>
      <c r="F394" s="649">
        <f>'1.13топливозаправщик'!N78</f>
        <v>2.0000000000000002E-5</v>
      </c>
      <c r="G394" s="636">
        <f>'1.13топливозаправщик'!O78</f>
        <v>1.9999999999999999E-6</v>
      </c>
      <c r="H394" s="635"/>
      <c r="I394" s="636"/>
      <c r="J394" s="637"/>
      <c r="K394" s="1059"/>
      <c r="L394" s="635"/>
      <c r="M394" s="636"/>
    </row>
    <row r="395" spans="2:13" s="131" customFormat="1" ht="84" customHeight="1" x14ac:dyDescent="0.25">
      <c r="B395" s="684" t="s">
        <v>1077</v>
      </c>
      <c r="C395" s="678">
        <v>7065</v>
      </c>
      <c r="D395" s="138" t="str">
        <f>'1.12.2склады щебня и суглинка'!U12</f>
        <v xml:space="preserve">Пыль неорган. 70-20% двуокиси кремния </v>
      </c>
      <c r="E395" s="678">
        <f>'1.12.2склады щебня и суглинка'!V12</f>
        <v>2908</v>
      </c>
      <c r="F395" s="681">
        <f>'1.12.2склады щебня и суглинка'!X12</f>
        <v>7.7300000000000008E-2</v>
      </c>
      <c r="G395" s="679">
        <f>'1.12.2склады щебня и суглинка'!Y12</f>
        <v>2.41E-2</v>
      </c>
      <c r="H395" s="681">
        <f>'1.12.2склады щебня и суглинка'!X25</f>
        <v>0.1085</v>
      </c>
      <c r="I395" s="679">
        <f>'1.12.2склады щебня и суглинка'!Y25</f>
        <v>2.9000000000000001E-2</v>
      </c>
      <c r="J395" s="680"/>
      <c r="K395" s="1067"/>
      <c r="L395" s="681"/>
      <c r="M395" s="679"/>
    </row>
    <row r="396" spans="2:13" s="131" customFormat="1" ht="89.25" customHeight="1" x14ac:dyDescent="0.25">
      <c r="B396" s="683" t="s">
        <v>1139</v>
      </c>
      <c r="C396" s="648">
        <v>7082</v>
      </c>
      <c r="D396" s="633" t="str">
        <f>'1.12.2склады щебня и суглинка'!U38</f>
        <v xml:space="preserve">Пыль неорган. 70-20% двуокиси кремния </v>
      </c>
      <c r="E396" s="648">
        <f>'1.12.2склады щебня и суглинка'!V38</f>
        <v>2908</v>
      </c>
      <c r="F396" s="635"/>
      <c r="G396" s="679"/>
      <c r="H396" s="635"/>
      <c r="I396" s="636"/>
      <c r="J396" s="677">
        <f>'1.12.2склады щебня и суглинка'!X38</f>
        <v>0.1754</v>
      </c>
      <c r="K396" s="1066">
        <f>'1.12.2склады щебня и суглинка'!Y38</f>
        <v>0.32150000000000001</v>
      </c>
      <c r="L396" s="635"/>
      <c r="M396" s="636"/>
    </row>
    <row r="397" spans="2:13" s="131" customFormat="1" ht="87" customHeight="1" x14ac:dyDescent="0.25">
      <c r="B397" s="684" t="s">
        <v>1140</v>
      </c>
      <c r="C397" s="678">
        <v>7100</v>
      </c>
      <c r="D397" s="138" t="str">
        <f>'1.12.2склады щебня и суглинка'!U45</f>
        <v xml:space="preserve">Пыль неорган. 70-20% двуокиси кремния </v>
      </c>
      <c r="E397" s="678">
        <f>'1.12.2склады щебня и суглинка'!V45</f>
        <v>2908</v>
      </c>
      <c r="F397" s="681"/>
      <c r="G397" s="678"/>
      <c r="H397" s="681"/>
      <c r="I397" s="679"/>
      <c r="J397" s="680"/>
      <c r="K397" s="1067"/>
      <c r="L397" s="681">
        <f>'1.12.2склады щебня и суглинка'!X45</f>
        <v>2.7799999999999998E-2</v>
      </c>
      <c r="M397" s="679">
        <f>'1.12.2склады щебня и суглинка'!Y45</f>
        <v>3.1199999999999999E-2</v>
      </c>
    </row>
    <row r="398" spans="2:13" s="131" customFormat="1" ht="87" customHeight="1" x14ac:dyDescent="0.25">
      <c r="B398" s="683" t="s">
        <v>1084</v>
      </c>
      <c r="C398" s="648">
        <v>7112</v>
      </c>
      <c r="D398" s="633" t="str">
        <f>'1.12.2склады щебня и суглинка'!U18</f>
        <v xml:space="preserve">Пыль неорган. 70-20% двуокиси кремния </v>
      </c>
      <c r="E398" s="648">
        <f>'1.12.2склады щебня и суглинка'!V18</f>
        <v>2908</v>
      </c>
      <c r="F398" s="635">
        <f>'1.12.2склады щебня и суглинка'!X18</f>
        <v>6.8400000000000002E-2</v>
      </c>
      <c r="G398" s="679">
        <f>'1.12.2склады щебня и суглинка'!Y18</f>
        <v>6.359999999999999E-2</v>
      </c>
      <c r="H398" s="635">
        <f>'1.12.2склады щебня и суглинка'!X31</f>
        <v>6.8400000000000002E-2</v>
      </c>
      <c r="I398" s="636">
        <f>'1.12.2склады щебня и суглинка'!Y31</f>
        <v>4.36E-2</v>
      </c>
      <c r="J398" s="677"/>
      <c r="K398" s="1066"/>
      <c r="L398" s="635"/>
      <c r="M398" s="636"/>
    </row>
    <row r="399" spans="2:13" s="70" customFormat="1" ht="15" customHeight="1" x14ac:dyDescent="0.25">
      <c r="B399" s="1706" t="s">
        <v>916</v>
      </c>
      <c r="C399" s="671">
        <v>1001</v>
      </c>
      <c r="D399" s="139" t="str">
        <f>'1.10 ДЭС и буровые установки'!K24</f>
        <v>Углерода оксид</v>
      </c>
      <c r="E399" s="140" t="str">
        <f>'1.10 ДЭС и буровые установки'!L24</f>
        <v>0337</v>
      </c>
      <c r="F399" s="121">
        <f>'1.10 ДЭС и буровые установки'!M24</f>
        <v>0.06</v>
      </c>
      <c r="G399" s="129">
        <f>'1.10 ДЭС и буровые установки'!N24</f>
        <v>2.24E-2</v>
      </c>
      <c r="H399" s="130"/>
      <c r="I399" s="129"/>
      <c r="J399" s="121"/>
      <c r="K399" s="1056"/>
      <c r="L399" s="177"/>
      <c r="M399" s="171"/>
    </row>
    <row r="400" spans="2:13" s="70" customFormat="1" ht="15" customHeight="1" x14ac:dyDescent="0.25">
      <c r="B400" s="1707"/>
      <c r="C400" s="668"/>
      <c r="D400" s="141" t="str">
        <f>'1.10 ДЭС и буровые установки'!K25</f>
        <v>Азота диоксид</v>
      </c>
      <c r="E400" s="143" t="str">
        <f>'1.10 ДЭС и буровые установки'!L25</f>
        <v>0301</v>
      </c>
      <c r="F400" s="122">
        <f>'1.10 ДЭС и буровые установки'!M25</f>
        <v>6.8699999999999997E-2</v>
      </c>
      <c r="G400" s="127">
        <f>'1.10 ДЭС и буровые установки'!N25</f>
        <v>2.5700000000000001E-2</v>
      </c>
      <c r="H400" s="164"/>
      <c r="I400" s="127"/>
      <c r="J400" s="122"/>
      <c r="K400" s="1053"/>
      <c r="L400" s="178"/>
      <c r="M400" s="167"/>
    </row>
    <row r="401" spans="2:13" s="70" customFormat="1" ht="15" customHeight="1" x14ac:dyDescent="0.25">
      <c r="B401" s="1707"/>
      <c r="C401" s="668"/>
      <c r="D401" s="141" t="str">
        <f>'1.10 ДЭС и буровые установки'!K26</f>
        <v>Азота оксид</v>
      </c>
      <c r="E401" s="143" t="str">
        <f>'1.10 ДЭС и буровые установки'!L26</f>
        <v>0304</v>
      </c>
      <c r="F401" s="122">
        <f>'1.10 ДЭС и буровые установки'!M26</f>
        <v>1.12E-2</v>
      </c>
      <c r="G401" s="127">
        <f>'1.10 ДЭС и буровые установки'!N26</f>
        <v>4.1999999999999997E-3</v>
      </c>
      <c r="H401" s="164"/>
      <c r="I401" s="127"/>
      <c r="J401" s="122"/>
      <c r="K401" s="1053"/>
      <c r="L401" s="178"/>
      <c r="M401" s="167"/>
    </row>
    <row r="402" spans="2:13" s="70" customFormat="1" ht="15" customHeight="1" x14ac:dyDescent="0.25">
      <c r="B402" s="1707"/>
      <c r="C402" s="668"/>
      <c r="D402" s="141" t="str">
        <f>'1.10 ДЭС и буровые установки'!K27</f>
        <v>Углеводороды</v>
      </c>
      <c r="E402" s="143">
        <f>'1.10 ДЭС и буровые установки'!L27</f>
        <v>2754</v>
      </c>
      <c r="F402" s="122">
        <f>'1.10 ДЭС и буровые установки'!M27</f>
        <v>0.03</v>
      </c>
      <c r="G402" s="127">
        <f>'1.10 ДЭС и буровые установки'!N27</f>
        <v>1.12E-2</v>
      </c>
      <c r="H402" s="164"/>
      <c r="I402" s="127"/>
      <c r="J402" s="122"/>
      <c r="K402" s="1053"/>
      <c r="L402" s="178"/>
      <c r="M402" s="167"/>
    </row>
    <row r="403" spans="2:13" s="70" customFormat="1" ht="15" customHeight="1" x14ac:dyDescent="0.25">
      <c r="B403" s="1707"/>
      <c r="C403" s="668"/>
      <c r="D403" s="141" t="str">
        <f>'1.10 ДЭС и буровые установки'!K28</f>
        <v>Углерод черный</v>
      </c>
      <c r="E403" s="143" t="str">
        <f>'1.10 ДЭС и буровые установки'!L28</f>
        <v>0328</v>
      </c>
      <c r="F403" s="122">
        <f>'1.10 ДЭС и буровые установки'!M28</f>
        <v>5.7999999999999996E-3</v>
      </c>
      <c r="G403" s="127">
        <f>'1.10 ДЭС и буровые установки'!N28</f>
        <v>2.2000000000000001E-3</v>
      </c>
      <c r="H403" s="164"/>
      <c r="I403" s="127"/>
      <c r="J403" s="122"/>
      <c r="K403" s="1053"/>
      <c r="L403" s="178"/>
      <c r="M403" s="167"/>
    </row>
    <row r="404" spans="2:13" s="70" customFormat="1" ht="15" customHeight="1" x14ac:dyDescent="0.25">
      <c r="B404" s="1707"/>
      <c r="C404" s="668"/>
      <c r="D404" s="141" t="str">
        <f>'1.10 ДЭС и буровые установки'!K29</f>
        <v>Сернистый ангидрид</v>
      </c>
      <c r="E404" s="143" t="str">
        <f>'1.10 ДЭС и буровые установки'!L29</f>
        <v>0330</v>
      </c>
      <c r="F404" s="122">
        <f>'1.10 ДЭС и буровые установки'!M29</f>
        <v>9.1999999999999998E-3</v>
      </c>
      <c r="G404" s="127">
        <f>'1.10 ДЭС и буровые установки'!N29</f>
        <v>3.3999999999999998E-3</v>
      </c>
      <c r="H404" s="164"/>
      <c r="I404" s="127"/>
      <c r="J404" s="122"/>
      <c r="K404" s="1053"/>
      <c r="L404" s="178"/>
      <c r="M404" s="167"/>
    </row>
    <row r="405" spans="2:13" s="70" customFormat="1" ht="15" customHeight="1" x14ac:dyDescent="0.25">
      <c r="B405" s="1707"/>
      <c r="C405" s="668"/>
      <c r="D405" s="141" t="str">
        <f>'1.10 ДЭС и буровые установки'!K30</f>
        <v>Формальдегид</v>
      </c>
      <c r="E405" s="143" t="str">
        <f>'1.10 ДЭС и буровые установки'!L30</f>
        <v>1325</v>
      </c>
      <c r="F405" s="122">
        <f>'1.10 ДЭС и буровые установки'!M30</f>
        <v>1.2999999999999999E-3</v>
      </c>
      <c r="G405" s="127">
        <f>'1.10 ДЭС и буровые установки'!N30</f>
        <v>4.4999999999999999E-4</v>
      </c>
      <c r="H405" s="164"/>
      <c r="I405" s="127"/>
      <c r="J405" s="122"/>
      <c r="K405" s="1053"/>
      <c r="L405" s="178"/>
      <c r="M405" s="167"/>
    </row>
    <row r="406" spans="2:13" s="70" customFormat="1" ht="15" customHeight="1" x14ac:dyDescent="0.25">
      <c r="B406" s="1708"/>
      <c r="C406" s="668"/>
      <c r="D406" s="142" t="str">
        <f>'1.10 ДЭС и буровые установки'!K31</f>
        <v>Бенз(а)пирен</v>
      </c>
      <c r="E406" s="124" t="str">
        <f>'1.10 ДЭС и буровые установки'!L31</f>
        <v>0703</v>
      </c>
      <c r="F406" s="123">
        <f>'1.10 ДЭС и буровые установки'!M31</f>
        <v>9.9999999999999995E-8</v>
      </c>
      <c r="G406" s="128">
        <f>'1.10 ДЭС и буровые установки'!N31</f>
        <v>4.0000000000000001E-8</v>
      </c>
      <c r="H406" s="165"/>
      <c r="I406" s="128"/>
      <c r="J406" s="123"/>
      <c r="K406" s="1057"/>
      <c r="L406" s="179"/>
      <c r="M406" s="169"/>
    </row>
    <row r="407" spans="2:13" s="70" customFormat="1" ht="15" customHeight="1" x14ac:dyDescent="0.25">
      <c r="B407" s="1706" t="s">
        <v>917</v>
      </c>
      <c r="C407" s="671">
        <v>1002</v>
      </c>
      <c r="D407" s="139" t="str">
        <f>'1.10 ДЭС и буровые установки'!K32</f>
        <v>Углерода оксид</v>
      </c>
      <c r="E407" s="140" t="str">
        <f>'1.10 ДЭС и буровые установки'!L32</f>
        <v>0337</v>
      </c>
      <c r="F407" s="121">
        <f>'1.10 ДЭС и буровые установки'!M32</f>
        <v>0.1</v>
      </c>
      <c r="G407" s="129">
        <f>'1.10 ДЭС и буровые установки'!N32</f>
        <v>2.4899999999999999E-2</v>
      </c>
      <c r="H407" s="130">
        <f>'1.10 ДЭС и буровые установки'!M50</f>
        <v>0.1</v>
      </c>
      <c r="I407" s="129">
        <f>'1.10 ДЭС и буровые установки'!N50</f>
        <v>2.4899999999999999E-2</v>
      </c>
      <c r="J407" s="121">
        <f>'1.10 ДЭС и буровые установки'!M68</f>
        <v>0.1</v>
      </c>
      <c r="K407" s="1056">
        <f>'1.10 ДЭС и буровые установки'!N68</f>
        <v>4.36E-2</v>
      </c>
      <c r="L407" s="177">
        <f>'1.10 ДЭС и буровые установки'!M77</f>
        <v>0.1</v>
      </c>
      <c r="M407" s="671">
        <f>'1.10 ДЭС и буровые установки'!N77</f>
        <v>3.1099999999999999E-2</v>
      </c>
    </row>
    <row r="408" spans="2:13" s="70" customFormat="1" ht="15" customHeight="1" x14ac:dyDescent="0.25">
      <c r="B408" s="1707"/>
      <c r="C408" s="668"/>
      <c r="D408" s="141" t="str">
        <f>'1.10 ДЭС и буровые установки'!K33</f>
        <v>Азота диоксид</v>
      </c>
      <c r="E408" s="143" t="str">
        <f>'1.10 ДЭС и буровые установки'!L33</f>
        <v>0301</v>
      </c>
      <c r="F408" s="122">
        <f>'1.10 ДЭС и буровые установки'!M33</f>
        <v>0.1144</v>
      </c>
      <c r="G408" s="127">
        <f>'1.10 ДЭС и буровые установки'!N33</f>
        <v>2.86E-2</v>
      </c>
      <c r="H408" s="164">
        <f>'1.10 ДЭС и буровые установки'!M51</f>
        <v>0.1144</v>
      </c>
      <c r="I408" s="127">
        <f>'1.10 ДЭС и буровые установки'!N51</f>
        <v>2.86E-2</v>
      </c>
      <c r="J408" s="122">
        <f>'1.10 ДЭС и буровые установки'!M69</f>
        <v>0.1144</v>
      </c>
      <c r="K408" s="1053">
        <f>'1.10 ДЭС и буровые установки'!N69</f>
        <v>0.05</v>
      </c>
      <c r="L408" s="178">
        <f>'1.10 ДЭС и буровые установки'!M78</f>
        <v>0.1144</v>
      </c>
      <c r="M408" s="668">
        <f>'1.10 ДЭС и буровые установки'!N78</f>
        <v>3.5700000000000003E-2</v>
      </c>
    </row>
    <row r="409" spans="2:13" s="70" customFormat="1" ht="15" customHeight="1" x14ac:dyDescent="0.25">
      <c r="B409" s="1707"/>
      <c r="C409" s="668"/>
      <c r="D409" s="141" t="str">
        <f>'1.10 ДЭС и буровые установки'!K34</f>
        <v>Азота оксид</v>
      </c>
      <c r="E409" s="143" t="str">
        <f>'1.10 ДЭС и буровые установки'!L34</f>
        <v>0304</v>
      </c>
      <c r="F409" s="122">
        <f>'1.10 ДЭС и буровые установки'!M34</f>
        <v>1.8599999999999998E-2</v>
      </c>
      <c r="G409" s="127">
        <f>'1.10 ДЭС и буровые установки'!N34</f>
        <v>4.5999999999999999E-3</v>
      </c>
      <c r="H409" s="164">
        <f>'1.10 ДЭС и буровые установки'!M52</f>
        <v>1.8599999999999998E-2</v>
      </c>
      <c r="I409" s="127">
        <f>'1.10 ДЭС и буровые установки'!N52</f>
        <v>4.5999999999999999E-3</v>
      </c>
      <c r="J409" s="122">
        <f>'1.10 ДЭС и буровые установки'!M70</f>
        <v>1.8599999999999998E-2</v>
      </c>
      <c r="K409" s="1053">
        <f>'1.10 ДЭС и буровые установки'!N70</f>
        <v>8.0999999999999996E-3</v>
      </c>
      <c r="L409" s="178">
        <f>'1.10 ДЭС и буровые установки'!M79</f>
        <v>1.8599999999999998E-2</v>
      </c>
      <c r="M409" s="668">
        <f>'1.10 ДЭС и буровые установки'!N79</f>
        <v>5.7999999999999996E-3</v>
      </c>
    </row>
    <row r="410" spans="2:13" s="70" customFormat="1" ht="15" customHeight="1" x14ac:dyDescent="0.25">
      <c r="B410" s="1707"/>
      <c r="C410" s="668"/>
      <c r="D410" s="141" t="str">
        <f>'1.10 ДЭС и буровые установки'!K35</f>
        <v>Углеводороды</v>
      </c>
      <c r="E410" s="143">
        <f>'1.10 ДЭС и буровые установки'!L35</f>
        <v>2754</v>
      </c>
      <c r="F410" s="122">
        <f>'1.10 ДЭС и буровые установки'!M35</f>
        <v>0.05</v>
      </c>
      <c r="G410" s="127">
        <f>'1.10 ДЭС и буровые установки'!N35</f>
        <v>1.2500000000000001E-2</v>
      </c>
      <c r="H410" s="164">
        <f>'1.10 ДЭС и буровые установки'!M53</f>
        <v>0.05</v>
      </c>
      <c r="I410" s="127">
        <f>'1.10 ДЭС и буровые установки'!N53</f>
        <v>1.2500000000000001E-2</v>
      </c>
      <c r="J410" s="122">
        <f>'1.10 ДЭС и буровые установки'!M71</f>
        <v>0.05</v>
      </c>
      <c r="K410" s="1053">
        <f>'1.10 ДЭС и буровые установки'!N71</f>
        <v>2.18E-2</v>
      </c>
      <c r="L410" s="178">
        <f>'1.10 ДЭС и буровые установки'!M80</f>
        <v>0.05</v>
      </c>
      <c r="M410" s="668">
        <f>'1.10 ДЭС и буровые установки'!N80</f>
        <v>1.5599999999999999E-2</v>
      </c>
    </row>
    <row r="411" spans="2:13" s="70" customFormat="1" ht="15" customHeight="1" x14ac:dyDescent="0.25">
      <c r="B411" s="1707"/>
      <c r="C411" s="668"/>
      <c r="D411" s="141" t="str">
        <f>'1.10 ДЭС и буровые установки'!K36</f>
        <v>Углерод черный</v>
      </c>
      <c r="E411" s="143" t="str">
        <f>'1.10 ДЭС и буровые установки'!L36</f>
        <v>0328</v>
      </c>
      <c r="F411" s="122">
        <f>'1.10 ДЭС и буровые установки'!M36</f>
        <v>9.7000000000000003E-3</v>
      </c>
      <c r="G411" s="127">
        <f>'1.10 ДЭС и буровые установки'!N36</f>
        <v>2.5000000000000001E-3</v>
      </c>
      <c r="H411" s="164">
        <f>'1.10 ДЭС и буровые установки'!M54</f>
        <v>9.7000000000000003E-3</v>
      </c>
      <c r="I411" s="127">
        <f>'1.10 ДЭС и буровые установки'!N54</f>
        <v>2.5000000000000001E-3</v>
      </c>
      <c r="J411" s="122">
        <f>'1.10 ДЭС и буровые установки'!M72</f>
        <v>9.7000000000000003E-3</v>
      </c>
      <c r="K411" s="1053">
        <f>'1.10 ДЭС и буровые установки'!N72</f>
        <v>4.4000000000000003E-3</v>
      </c>
      <c r="L411" s="178">
        <f>'1.10 ДЭС и буровые установки'!M81</f>
        <v>9.7000000000000003E-3</v>
      </c>
      <c r="M411" s="668">
        <f>'1.10 ДЭС и буровые установки'!N81</f>
        <v>3.0999999999999999E-3</v>
      </c>
    </row>
    <row r="412" spans="2:13" s="70" customFormat="1" ht="15" customHeight="1" x14ac:dyDescent="0.25">
      <c r="B412" s="1707"/>
      <c r="C412" s="668"/>
      <c r="D412" s="141" t="str">
        <f>'1.10 ДЭС и буровые установки'!K37</f>
        <v>Сернистый ангидрид</v>
      </c>
      <c r="E412" s="143" t="str">
        <f>'1.10 ДЭС и буровые установки'!L37</f>
        <v>0330</v>
      </c>
      <c r="F412" s="122">
        <f>'1.10 ДЭС и буровые установки'!M37</f>
        <v>1.5299999999999999E-2</v>
      </c>
      <c r="G412" s="127">
        <f>'1.10 ДЭС и буровые установки'!N37</f>
        <v>3.7000000000000002E-3</v>
      </c>
      <c r="H412" s="164">
        <f>'1.10 ДЭС и буровые установки'!M55</f>
        <v>1.5299999999999999E-2</v>
      </c>
      <c r="I412" s="127">
        <f>'1.10 ДЭС и буровые установки'!N55</f>
        <v>3.7000000000000002E-3</v>
      </c>
      <c r="J412" s="122">
        <f>'1.10 ДЭС и буровые установки'!M73</f>
        <v>1.5299999999999999E-2</v>
      </c>
      <c r="K412" s="1053">
        <f>'1.10 ДЭС и буровые установки'!N73</f>
        <v>6.4999999999999997E-3</v>
      </c>
      <c r="L412" s="178">
        <f>'1.10 ДЭС и буровые установки'!M82</f>
        <v>1.5299999999999999E-2</v>
      </c>
      <c r="M412" s="668">
        <f>'1.10 ДЭС и буровые установки'!N82</f>
        <v>4.7000000000000002E-3</v>
      </c>
    </row>
    <row r="413" spans="2:13" s="70" customFormat="1" ht="15" customHeight="1" x14ac:dyDescent="0.25">
      <c r="B413" s="1707"/>
      <c r="C413" s="668"/>
      <c r="D413" s="141" t="str">
        <f>'1.10 ДЭС и буровые установки'!K38</f>
        <v>Формальдегид</v>
      </c>
      <c r="E413" s="143" t="str">
        <f>'1.10 ДЭС и буровые установки'!L38</f>
        <v>1325</v>
      </c>
      <c r="F413" s="122">
        <f>'1.10 ДЭС и буровые установки'!M38</f>
        <v>2.0999999999999999E-3</v>
      </c>
      <c r="G413" s="127">
        <f>'1.10 ДЭС и буровые установки'!N38</f>
        <v>5.0000000000000001E-4</v>
      </c>
      <c r="H413" s="164">
        <f>'1.10 ДЭС и буровые установки'!M56</f>
        <v>2.0999999999999999E-3</v>
      </c>
      <c r="I413" s="127">
        <f>'1.10 ДЭС и буровые установки'!N56</f>
        <v>5.0000000000000001E-4</v>
      </c>
      <c r="J413" s="122">
        <f>'1.10 ДЭС и буровые установки'!M74</f>
        <v>2.0999999999999999E-3</v>
      </c>
      <c r="K413" s="1053">
        <f>'1.10 ДЭС и буровые установки'!N74</f>
        <v>8.7000000000000001E-4</v>
      </c>
      <c r="L413" s="178">
        <f>'1.10 ДЭС и буровые установки'!M83</f>
        <v>2.0999999999999999E-3</v>
      </c>
      <c r="M413" s="668">
        <f>'1.10 ДЭС и буровые установки'!N83</f>
        <v>6.2E-4</v>
      </c>
    </row>
    <row r="414" spans="2:13" s="70" customFormat="1" ht="15" customHeight="1" thickBot="1" x14ac:dyDescent="0.3">
      <c r="B414" s="1708"/>
      <c r="C414" s="668"/>
      <c r="D414" s="142" t="str">
        <f>'1.10 ДЭС и буровые установки'!K39</f>
        <v>Бенз(а)пирен</v>
      </c>
      <c r="E414" s="124" t="str">
        <f>'1.10 ДЭС и буровые установки'!L39</f>
        <v>0703</v>
      </c>
      <c r="F414" s="123">
        <f>'1.10 ДЭС и буровые установки'!M39</f>
        <v>1.9999999999999999E-7</v>
      </c>
      <c r="G414" s="128">
        <f>'1.10 ДЭС и буровые установки'!N39</f>
        <v>4.9999999999999998E-8</v>
      </c>
      <c r="H414" s="165">
        <f>'1.10 ДЭС и буровые установки'!M57</f>
        <v>1.9999999999999999E-7</v>
      </c>
      <c r="I414" s="1068">
        <f>'1.10 ДЭС и буровые установки'!N57</f>
        <v>4.9999999999999998E-8</v>
      </c>
      <c r="J414" s="1069">
        <f>'1.10 ДЭС и буровые установки'!M75</f>
        <v>1.9999999999999999E-7</v>
      </c>
      <c r="K414" s="1057">
        <f>'1.10 ДЭС и буровые установки'!N75</f>
        <v>9.9999999999999995E-8</v>
      </c>
      <c r="L414" s="179">
        <f>'1.10 ДЭС и буровые установки'!M84</f>
        <v>1.9999999999999999E-7</v>
      </c>
      <c r="M414" s="660">
        <f>'1.10 ДЭС и буровые установки'!N84</f>
        <v>9.9999999999999995E-8</v>
      </c>
    </row>
    <row r="415" spans="2:13" s="693" customFormat="1" ht="19.5" customHeight="1" thickBot="1" x14ac:dyDescent="0.3">
      <c r="B415" s="686"/>
      <c r="C415" s="687"/>
      <c r="D415" s="688" t="s">
        <v>904</v>
      </c>
      <c r="E415" s="687"/>
      <c r="F415" s="689">
        <f t="shared" ref="F415:M415" si="0">SUM(F5:F414)</f>
        <v>9.4163846600000003</v>
      </c>
      <c r="G415" s="690">
        <f t="shared" si="0"/>
        <v>13.197212320000004</v>
      </c>
      <c r="H415" s="691">
        <f t="shared" si="0"/>
        <v>11.297828260000005</v>
      </c>
      <c r="I415" s="692">
        <f t="shared" si="0"/>
        <v>18.529012829999999</v>
      </c>
      <c r="J415" s="689">
        <f t="shared" si="0"/>
        <v>13.153681019999999</v>
      </c>
      <c r="K415" s="690">
        <f t="shared" si="0"/>
        <v>28.01909186000001</v>
      </c>
      <c r="L415" s="691">
        <f t="shared" si="0"/>
        <v>7.427145620000001</v>
      </c>
      <c r="M415" s="691">
        <f t="shared" si="0"/>
        <v>11.246001389999995</v>
      </c>
    </row>
    <row r="416" spans="2:13" s="174" customFormat="1" ht="12.75" x14ac:dyDescent="0.2">
      <c r="B416" s="694"/>
      <c r="C416" s="718"/>
      <c r="D416" s="695"/>
      <c r="E416" s="723"/>
      <c r="F416" s="723">
        <f>'1.1 снятие ТГ бульдозер'!Q58+'1.2погрузка экскаватором'!Q65+'1.3земляные работы'!S133+'1.4 транспортирование'!V94+'1.5пересыпка материалов'!S44+'1.5пересыпка материалов'!S110+'1.6укладка асфальтобетона'!J30+'1.7покраска'!O111+'1.8 сварка'!L105+'1.8.1сварка доп'!Q34+'1.9сварка полиэтилена'!J43+'1.10 ДЭС и буровые установки'!O49+'1.11бурение'!L29+'1.12.1склад техног грунта'!Z48+'1.12.2склады щебня и суглинка'!Z18+'1.13топливозаправщик'!P81</f>
        <v>9.4163846600000003</v>
      </c>
      <c r="G416" s="723">
        <f>'1.1 снятие ТГ бульдозер'!R58+'1.2погрузка экскаватором'!R65+'1.3земляные работы'!T133+'1.4 транспортирование'!W94+'1.5пересыпка материалов'!T44+'1.5пересыпка материалов'!T110+'1.6укладка асфальтобетона'!K30+'1.7покраска'!P111+'1.8 сварка'!M105+'1.8.1сварка доп'!R34+'1.9сварка полиэтилена'!K43+'1.10 ДЭС и буровые установки'!P49+'1.11бурение'!M29+'1.12.1склад техног грунта'!AA48+'1.12.2склады щебня и суглинка'!AA18+'1.13топливозаправщик'!Q81</f>
        <v>13.197212320000004</v>
      </c>
      <c r="H416" s="723">
        <f>'1.1 снятие ТГ бульдозер'!Q67+'1.2погрузка экскаватором'!Q94+'1.3земляные работы'!S224+'1.4 транспортирование'!V165+'1.5пересыпка материалов'!S61+'1.5пересыпка материалов'!S116+'1.6укладка асфальтобетона'!J33+'1.7покраска'!O252+'1.8 сварка'!L226+'1.8.1сварка доп'!Q63+'1.9сварка полиэтилена'!J71+'1.10 ДЭС и буровые установки'!O67+'1.11бурение'!L32+'1.12.1склад техног грунта'!Z53+'1.12.2склады щебня и суглинка'!Z31+'1.13топливозаправщик'!P127+'1.14битумные работы'!J29</f>
        <v>11.297828259999998</v>
      </c>
      <c r="I416" s="723">
        <f>'1.1 снятие ТГ бульдозер'!R67+'1.2погрузка экскаватором'!R94+'1.3земляные работы'!T224+'1.4 транспортирование'!W165+'1.5пересыпка материалов'!T61+'1.5пересыпка материалов'!T116+'1.6укладка асфальтобетона'!K33+'1.7покраска'!P252+'1.8 сварка'!M226+'1.8.1сварка доп'!R63+'1.9сварка полиэтилена'!K71+'1.10 ДЭС и буровые установки'!P67+'1.11бурение'!M32+'1.12.1склад техног грунта'!AA53+'1.12.2склады щебня и суглинка'!AA31+'1.13топливозаправщик'!Q127+'1.14битумные работы'!K29</f>
        <v>18.529012830000003</v>
      </c>
      <c r="J416" s="723">
        <f>'1.1 снятие ТГ бульдозер'!Q76+'1.2погрузка экскаватором'!Q119+'1.3земляные работы'!S315+'1.4 транспортирование'!V224+'1.5пересыпка материалов'!S134+'1.5пересыпка материалов'!S90+'1.6укладка асфальтобетона'!J38+'1.7покраска'!O436+'1.8 сварка'!L347+'1.8.1сварка доп'!Q92+'1.9сварка полиэтилена'!J102+'1.10 ДЭС и буровые установки'!O76+'1.12.1склад техног грунта'!Z59+'1.12.2склады щебня и суглинка'!Z38+'1.13топливозаправщик'!P176</f>
        <v>13.153681020000001</v>
      </c>
      <c r="K416" s="723">
        <f>'1.1 снятие ТГ бульдозер'!R76+'1.2погрузка экскаватором'!R119+'1.3земляные работы'!T315+'1.4 транспортирование'!W224+'1.5пересыпка материалов'!T134+'1.5пересыпка материалов'!T90+'1.6укладка асфальтобетона'!K38+'1.7покраска'!P436+'1.8 сварка'!M347+'1.8.1сварка доп'!R92+'1.9сварка полиэтилена'!K102+'1.10 ДЭС и буровые установки'!P76+'1.12.1склад техног грунта'!AA59+'1.12.2склады щебня и суглинка'!AA38+'1.13топливозаправщик'!Q176</f>
        <v>28.019091860000007</v>
      </c>
      <c r="L416" s="723">
        <f>'1.1 снятие ТГ бульдозер'!Q81+'1.2погрузка экскаватором'!Q128+'1.3земляные работы'!S340+'1.4 транспортирование'!V236+'1.5пересыпка материалов'!S98+'1.5пересыпка материалов'!S141+'1.6укладка асфальтобетона'!J43+'1.7покраска'!O480+'1.8 сварка'!L388+'1.8.1сварка доп'!Q121+'1.9сварка полиэтилена'!J112+'1.10 ДЭС и буровые установки'!O94+'1.11бурение'!L35+'1.12.1склад техног грунта'!Z64+'1.12.2склады щебня и суглинка'!Z45+'1.13топливозаправщик'!P198</f>
        <v>7.4271456200000001</v>
      </c>
      <c r="M416" s="723">
        <f>'1.1 снятие ТГ бульдозер'!R81+'1.2погрузка экскаватором'!R128+'1.3земляные работы'!T340+'1.4 транспортирование'!W236+'1.5пересыпка материалов'!T98+'1.5пересыпка материалов'!T141+'1.6укладка асфальтобетона'!K43+'1.7покраска'!P480+'1.8 сварка'!M388+'1.8.1сварка доп'!R121+'1.9сварка полиэтилена'!K112+'1.10 ДЭС и буровые установки'!P94+'1.11бурение'!M35+'1.12.1склад техног грунта'!AA64+'1.12.2склады щебня и суглинка'!AA45+'1.13топливозаправщик'!Q198</f>
        <v>11.246001389999998</v>
      </c>
    </row>
    <row r="417" spans="2:13" s="174" customFormat="1" ht="12.75" x14ac:dyDescent="0.2">
      <c r="B417" s="694"/>
      <c r="C417" s="718"/>
      <c r="D417" s="695"/>
      <c r="E417" s="723"/>
      <c r="F417" s="172">
        <f>F415-F416</f>
        <v>0</v>
      </c>
      <c r="G417" s="172">
        <f>G415-G416</f>
        <v>0</v>
      </c>
      <c r="H417" s="172">
        <f>H415-H416</f>
        <v>0</v>
      </c>
      <c r="I417" s="172">
        <f t="shared" ref="I417" si="1">I415-I416</f>
        <v>0</v>
      </c>
      <c r="J417" s="172">
        <f>J415-J416</f>
        <v>0</v>
      </c>
      <c r="K417" s="172">
        <f>K415-K416</f>
        <v>0</v>
      </c>
      <c r="L417" s="172">
        <f t="shared" ref="L417" si="2">L415-L416</f>
        <v>0</v>
      </c>
      <c r="M417" s="172">
        <f t="shared" ref="M417" si="3">M415-M416</f>
        <v>0</v>
      </c>
    </row>
    <row r="418" spans="2:13" s="697" customFormat="1" ht="12.75" x14ac:dyDescent="0.2">
      <c r="B418" s="696"/>
      <c r="C418" s="719"/>
      <c r="D418" s="698"/>
      <c r="E418" s="723"/>
      <c r="F418" s="172"/>
      <c r="G418" s="172"/>
      <c r="H418" s="172"/>
      <c r="I418" s="172"/>
      <c r="J418" s="172"/>
      <c r="K418" s="172"/>
      <c r="L418" s="172"/>
      <c r="M418" s="172"/>
    </row>
    <row r="419" spans="2:13" s="697" customFormat="1" ht="21" customHeight="1" x14ac:dyDescent="0.3">
      <c r="B419" s="699"/>
      <c r="C419" s="612"/>
      <c r="D419" s="1700" t="s">
        <v>1226</v>
      </c>
      <c r="E419" s="1700"/>
      <c r="F419" s="1700"/>
      <c r="G419" s="1700"/>
      <c r="H419" s="1700"/>
      <c r="I419" s="1700"/>
      <c r="J419" s="1700"/>
      <c r="K419" s="1700"/>
      <c r="L419" s="1700"/>
      <c r="M419" s="613"/>
    </row>
    <row r="420" spans="2:13" ht="20.100000000000001" customHeight="1" x14ac:dyDescent="0.25">
      <c r="D420" s="230"/>
      <c r="F420" s="1701" t="s">
        <v>905</v>
      </c>
      <c r="G420" s="1701"/>
      <c r="H420" s="1701" t="s">
        <v>905</v>
      </c>
      <c r="I420" s="1701"/>
      <c r="J420" s="1701" t="s">
        <v>905</v>
      </c>
      <c r="K420" s="1701"/>
      <c r="L420" s="1701" t="s">
        <v>905</v>
      </c>
      <c r="M420" s="1701"/>
    </row>
    <row r="421" spans="2:13" s="701" customFormat="1" ht="15.75" customHeight="1" x14ac:dyDescent="0.25">
      <c r="B421" s="700"/>
      <c r="C421" s="711"/>
      <c r="D421" s="1697" t="s">
        <v>3</v>
      </c>
      <c r="E421" s="1697" t="s">
        <v>903</v>
      </c>
      <c r="F421" s="1699" t="s">
        <v>5</v>
      </c>
      <c r="G421" s="1699"/>
      <c r="H421" s="1699" t="s">
        <v>11</v>
      </c>
      <c r="I421" s="1699"/>
      <c r="J421" s="1699" t="s">
        <v>60</v>
      </c>
      <c r="K421" s="1699"/>
      <c r="L421" s="1693" t="s">
        <v>63</v>
      </c>
      <c r="M421" s="1694"/>
    </row>
    <row r="422" spans="2:13" ht="14.25" customHeight="1" x14ac:dyDescent="0.25">
      <c r="D422" s="1698"/>
      <c r="E422" s="1698"/>
      <c r="F422" s="213" t="s">
        <v>46</v>
      </c>
      <c r="G422" s="213" t="s">
        <v>45</v>
      </c>
      <c r="H422" s="213" t="s">
        <v>46</v>
      </c>
      <c r="I422" s="213" t="s">
        <v>45</v>
      </c>
      <c r="J422" s="213" t="s">
        <v>46</v>
      </c>
      <c r="K422" s="213" t="s">
        <v>45</v>
      </c>
      <c r="L422" s="213" t="s">
        <v>46</v>
      </c>
      <c r="M422" s="213" t="s">
        <v>46</v>
      </c>
    </row>
    <row r="423" spans="2:13" s="70" customFormat="1" ht="20.100000000000001" customHeight="1" x14ac:dyDescent="0.25">
      <c r="B423" s="232"/>
      <c r="C423" s="693"/>
      <c r="D423" s="125">
        <v>1</v>
      </c>
      <c r="E423" s="125">
        <v>2</v>
      </c>
      <c r="F423" s="125">
        <v>3</v>
      </c>
      <c r="G423" s="125">
        <v>4</v>
      </c>
      <c r="H423" s="125">
        <v>5</v>
      </c>
      <c r="I423" s="125">
        <v>6</v>
      </c>
      <c r="J423" s="125">
        <v>7</v>
      </c>
      <c r="K423" s="125">
        <v>8</v>
      </c>
      <c r="L423" s="125">
        <v>9</v>
      </c>
      <c r="M423" s="125">
        <v>9</v>
      </c>
    </row>
    <row r="424" spans="2:13" s="70" customFormat="1" ht="20.100000000000001" customHeight="1" x14ac:dyDescent="0.25">
      <c r="B424" s="232"/>
      <c r="C424" s="693"/>
      <c r="D424" s="1090" t="s">
        <v>149</v>
      </c>
      <c r="E424" s="1091" t="s">
        <v>150</v>
      </c>
      <c r="F424" s="1092">
        <f>F22+F26+F60+F76+F91+F113+F125+F145+F157+F177+F191+F211+F225+F242+F264+F277+F298+F312+F330+F359+F374</f>
        <v>0.57464000000000004</v>
      </c>
      <c r="G424" s="1092">
        <f t="shared" ref="G424:M424" si="4">G22+G26+G60+G76+G91+G113+G125+G145+G157+G177+G191+G211+G225+G242+G264+G277+G298+G312+G330+G359+G374</f>
        <v>1.0019899999999999</v>
      </c>
      <c r="H424" s="1092">
        <f t="shared" si="4"/>
        <v>0.84690999999999994</v>
      </c>
      <c r="I424" s="1092">
        <f t="shared" si="4"/>
        <v>2.2033199999999997</v>
      </c>
      <c r="J424" s="1092">
        <f t="shared" si="4"/>
        <v>1.1976099999999998</v>
      </c>
      <c r="K424" s="1092">
        <f t="shared" si="4"/>
        <v>3.6901199999999998</v>
      </c>
      <c r="L424" s="1092">
        <f t="shared" si="4"/>
        <v>1.17127</v>
      </c>
      <c r="M424" s="1092">
        <f t="shared" si="4"/>
        <v>1.7269019999999999</v>
      </c>
    </row>
    <row r="425" spans="2:13" s="70" customFormat="1" ht="20.100000000000001" customHeight="1" x14ac:dyDescent="0.25">
      <c r="B425" s="232"/>
      <c r="C425" s="693"/>
      <c r="D425" s="1090" t="s">
        <v>145</v>
      </c>
      <c r="E425" s="1091" t="s">
        <v>146</v>
      </c>
      <c r="F425" s="1092">
        <f>F20+F27+F58+F74+F89+F111+F123+F143+F155+F175+F189+F209+F223+F240+F262+F275+F296+F310+F328+F357+F372</f>
        <v>7.5619999999999993E-2</v>
      </c>
      <c r="G425" s="1092">
        <f t="shared" ref="G425:M425" si="5">G20+G27+G58+G74+G89+G111+G123+G143+G155+G175+G189+G209+G223+G240+G262+G275+G296+G310+G328+G357+G372</f>
        <v>8.7382000000000001E-2</v>
      </c>
      <c r="H425" s="1092">
        <f t="shared" si="5"/>
        <v>9.9959999999999993E-2</v>
      </c>
      <c r="I425" s="1092">
        <f t="shared" si="5"/>
        <v>0.19400000000000001</v>
      </c>
      <c r="J425" s="1092">
        <f t="shared" si="5"/>
        <v>0.13003999999999999</v>
      </c>
      <c r="K425" s="1092">
        <f t="shared" si="5"/>
        <v>0.32202999999999998</v>
      </c>
      <c r="L425" s="1092">
        <f t="shared" si="5"/>
        <v>0.12692300000000001</v>
      </c>
      <c r="M425" s="1092">
        <f t="shared" si="5"/>
        <v>0.14998300000000001</v>
      </c>
    </row>
    <row r="426" spans="2:13" s="70" customFormat="1" ht="20.100000000000001" customHeight="1" x14ac:dyDescent="0.25">
      <c r="B426" s="232"/>
      <c r="C426" s="693"/>
      <c r="D426" s="1090" t="s">
        <v>1258</v>
      </c>
      <c r="E426" s="1091" t="s">
        <v>1249</v>
      </c>
      <c r="F426" s="1092">
        <f>F30</f>
        <v>0.10151</v>
      </c>
      <c r="G426" s="1092">
        <f>G30</f>
        <v>3.7099999999999998E-3</v>
      </c>
      <c r="H426" s="1092">
        <f t="shared" ref="H426:M426" si="6">H30</f>
        <v>9.5009999999999997E-2</v>
      </c>
      <c r="I426" s="1092">
        <f t="shared" si="6"/>
        <v>1.1170000000000001E-2</v>
      </c>
      <c r="J426" s="1092">
        <f t="shared" si="6"/>
        <v>9.5009999999999997E-2</v>
      </c>
      <c r="K426" s="1092">
        <f t="shared" si="6"/>
        <v>1.1170000000000001E-2</v>
      </c>
      <c r="L426" s="1092">
        <f t="shared" si="6"/>
        <v>0.10151</v>
      </c>
      <c r="M426" s="1092">
        <f t="shared" si="6"/>
        <v>3.7099999999999998E-3</v>
      </c>
    </row>
    <row r="427" spans="2:13" s="70" customFormat="1" ht="20.100000000000001" customHeight="1" x14ac:dyDescent="0.25">
      <c r="B427" s="232"/>
      <c r="C427" s="693"/>
      <c r="D427" s="1090" t="s">
        <v>1244</v>
      </c>
      <c r="E427" s="1091" t="s">
        <v>1245</v>
      </c>
      <c r="F427" s="1092">
        <f>F28</f>
        <v>9.7900000000000001E-3</v>
      </c>
      <c r="G427" s="1092">
        <f t="shared" ref="G427:M427" si="7">G28</f>
        <v>4.2999999999999994E-4</v>
      </c>
      <c r="H427" s="1092">
        <f t="shared" si="7"/>
        <v>9.2800000000000001E-3</v>
      </c>
      <c r="I427" s="1092">
        <f t="shared" si="7"/>
        <v>1.33E-3</v>
      </c>
      <c r="J427" s="1092">
        <f t="shared" si="7"/>
        <v>9.2800000000000001E-3</v>
      </c>
      <c r="K427" s="1092">
        <f t="shared" si="7"/>
        <v>1.33E-3</v>
      </c>
      <c r="L427" s="1092">
        <f t="shared" si="7"/>
        <v>9.7900000000000001E-3</v>
      </c>
      <c r="M427" s="1092">
        <f t="shared" si="7"/>
        <v>4.2999999999999994E-4</v>
      </c>
    </row>
    <row r="428" spans="2:13" s="706" customFormat="1" ht="20.25" customHeight="1" x14ac:dyDescent="0.25">
      <c r="B428" s="705"/>
      <c r="C428" s="720"/>
      <c r="D428" s="1090" t="s">
        <v>143</v>
      </c>
      <c r="E428" s="1091" t="s">
        <v>144</v>
      </c>
      <c r="F428" s="1092">
        <f>F19+F32+F35+F57+F73+F88+F110+F122+F142+F154+F174+F188+F208+F222+F239+F261+F274+F295+F309+F327+F335+F356+F371+F378+F400+F408</f>
        <v>1.0026199999999998</v>
      </c>
      <c r="G428" s="1092">
        <f t="shared" ref="G428:M428" si="8">G19+G32+G35+G57+G73+G88+G110+G122+G142+G154+G174+G188+G208+G222+G239+G261+G274+G295+G309+G327+G335+G356+G371+G378+G400+G408</f>
        <v>0.48670000000000002</v>
      </c>
      <c r="H428" s="1092">
        <f t="shared" si="8"/>
        <v>0.57813000000000003</v>
      </c>
      <c r="I428" s="1092">
        <f t="shared" si="8"/>
        <v>0.37678000000000006</v>
      </c>
      <c r="J428" s="1092">
        <f t="shared" si="8"/>
        <v>0.26688999999999996</v>
      </c>
      <c r="K428" s="1092">
        <f t="shared" si="8"/>
        <v>0.56348000000000009</v>
      </c>
      <c r="L428" s="1092">
        <f t="shared" si="8"/>
        <v>0.62292400000000003</v>
      </c>
      <c r="M428" s="1092">
        <f t="shared" si="8"/>
        <v>0.31170199999999998</v>
      </c>
    </row>
    <row r="429" spans="2:13" s="70" customFormat="1" ht="20.100000000000001" customHeight="1" x14ac:dyDescent="0.25">
      <c r="B429" s="232"/>
      <c r="C429" s="693"/>
      <c r="D429" s="702" t="s">
        <v>166</v>
      </c>
      <c r="E429" s="703" t="s">
        <v>167</v>
      </c>
      <c r="F429" s="125">
        <f>F36+F336+F379+F401+F409</f>
        <v>0.1525</v>
      </c>
      <c r="G429" s="125">
        <f t="shared" ref="G429:M429" si="9">G36+G336+G379+G401+G409</f>
        <v>5.6400000000000006E-2</v>
      </c>
      <c r="H429" s="125">
        <f t="shared" si="9"/>
        <v>7.7199999999999991E-2</v>
      </c>
      <c r="I429" s="125">
        <f t="shared" si="9"/>
        <v>1.17E-2</v>
      </c>
      <c r="J429" s="125">
        <f t="shared" si="9"/>
        <v>1.8599999999999998E-2</v>
      </c>
      <c r="K429" s="125">
        <f t="shared" si="9"/>
        <v>8.0999999999999996E-3</v>
      </c>
      <c r="L429" s="125">
        <f t="shared" si="9"/>
        <v>7.7199999999999991E-2</v>
      </c>
      <c r="M429" s="125">
        <f t="shared" si="9"/>
        <v>1.15E-2</v>
      </c>
    </row>
    <row r="430" spans="2:13" s="706" customFormat="1" ht="20.100000000000001" customHeight="1" x14ac:dyDescent="0.25">
      <c r="B430" s="705"/>
      <c r="C430" s="720"/>
      <c r="D430" s="1093" t="s">
        <v>1246</v>
      </c>
      <c r="E430" s="1094" t="s">
        <v>1247</v>
      </c>
      <c r="F430" s="1092">
        <f>F29</f>
        <v>2.14E-3</v>
      </c>
      <c r="G430" s="1092">
        <f t="shared" ref="G430:M430" si="10">G29</f>
        <v>1.6000000000000001E-4</v>
      </c>
      <c r="H430" s="1092">
        <f t="shared" si="10"/>
        <v>2.14E-3</v>
      </c>
      <c r="I430" s="1092">
        <f t="shared" si="10"/>
        <v>5.1999999999999995E-4</v>
      </c>
      <c r="J430" s="1092">
        <f t="shared" si="10"/>
        <v>2.14E-3</v>
      </c>
      <c r="K430" s="1092">
        <f t="shared" si="10"/>
        <v>5.1999999999999995E-4</v>
      </c>
      <c r="L430" s="1092">
        <f t="shared" si="10"/>
        <v>2.14E-3</v>
      </c>
      <c r="M430" s="1092">
        <f t="shared" si="10"/>
        <v>1.6000000000000001E-4</v>
      </c>
    </row>
    <row r="431" spans="2:13" s="70" customFormat="1" ht="20.100000000000001" customHeight="1" x14ac:dyDescent="0.25">
      <c r="B431" s="232"/>
      <c r="C431" s="693"/>
      <c r="D431" s="702" t="s">
        <v>550</v>
      </c>
      <c r="E431" s="703" t="s">
        <v>173</v>
      </c>
      <c r="F431" s="125">
        <f>F38+F338+F381+F403+F411</f>
        <v>6.4700000000000008E-2</v>
      </c>
      <c r="G431" s="125">
        <f t="shared" ref="G431:M431" si="11">G38+G338+G381+G403+G411</f>
        <v>2.3E-2</v>
      </c>
      <c r="H431" s="125">
        <f t="shared" si="11"/>
        <v>3.32E-2</v>
      </c>
      <c r="I431" s="125">
        <f t="shared" si="11"/>
        <v>5.1999999999999998E-3</v>
      </c>
      <c r="J431" s="125">
        <f t="shared" si="11"/>
        <v>9.7000000000000003E-3</v>
      </c>
      <c r="K431" s="125">
        <f t="shared" si="11"/>
        <v>4.4000000000000003E-3</v>
      </c>
      <c r="L431" s="125">
        <f t="shared" si="11"/>
        <v>3.32E-2</v>
      </c>
      <c r="M431" s="125">
        <f t="shared" si="11"/>
        <v>5.3E-3</v>
      </c>
    </row>
    <row r="432" spans="2:13" s="70" customFormat="1" ht="20.100000000000001" customHeight="1" x14ac:dyDescent="0.25">
      <c r="B432" s="232"/>
      <c r="C432" s="693"/>
      <c r="D432" s="702" t="s">
        <v>547</v>
      </c>
      <c r="E432" s="703" t="s">
        <v>169</v>
      </c>
      <c r="F432" s="125">
        <f>F39+F339+F382+F404+F412</f>
        <v>0.14249999999999999</v>
      </c>
      <c r="G432" s="125">
        <f t="shared" ref="G432:M432" si="12">G39+G339+G382+G404+G412</f>
        <v>5.2900000000000003E-2</v>
      </c>
      <c r="H432" s="125">
        <f t="shared" si="12"/>
        <v>7.1599999999999997E-2</v>
      </c>
      <c r="I432" s="125">
        <f t="shared" si="12"/>
        <v>1.0499999999999999E-2</v>
      </c>
      <c r="J432" s="125">
        <f t="shared" si="12"/>
        <v>1.5299999999999999E-2</v>
      </c>
      <c r="K432" s="125">
        <f t="shared" si="12"/>
        <v>6.4999999999999997E-3</v>
      </c>
      <c r="L432" s="125">
        <f t="shared" si="12"/>
        <v>7.1599999999999997E-2</v>
      </c>
      <c r="M432" s="125">
        <f t="shared" si="12"/>
        <v>1.0200000000000001E-2</v>
      </c>
    </row>
    <row r="433" spans="2:13" s="70" customFormat="1" ht="20.100000000000001" customHeight="1" x14ac:dyDescent="0.25">
      <c r="B433" s="232"/>
      <c r="C433" s="693"/>
      <c r="D433" s="138" t="s">
        <v>185</v>
      </c>
      <c r="E433" s="678" t="s">
        <v>186</v>
      </c>
      <c r="F433" s="125">
        <f t="shared" ref="F433:M433" si="13">F44+F65+F80+F95+F118+F130+F150+F162+F182+F196+F216+F230+F247+F269+F282+F303+F317+F344+F365+F387+F391+F394</f>
        <v>2.6000000000000003E-4</v>
      </c>
      <c r="G433" s="125">
        <f t="shared" si="13"/>
        <v>5.1E-5</v>
      </c>
      <c r="H433" s="125">
        <f t="shared" si="13"/>
        <v>3.0000000000000003E-4</v>
      </c>
      <c r="I433" s="125">
        <f t="shared" si="13"/>
        <v>7.7999999999999985E-5</v>
      </c>
      <c r="J433" s="125">
        <f t="shared" si="13"/>
        <v>3.2000000000000003E-4</v>
      </c>
      <c r="K433" s="125">
        <f t="shared" si="13"/>
        <v>4.1499999999999999E-5</v>
      </c>
      <c r="L433" s="125">
        <f t="shared" si="13"/>
        <v>1.4000000000000001E-4</v>
      </c>
      <c r="M433" s="125">
        <f t="shared" si="13"/>
        <v>9.9999999999999991E-6</v>
      </c>
    </row>
    <row r="434" spans="2:13" s="706" customFormat="1" ht="20.100000000000001" customHeight="1" x14ac:dyDescent="0.25">
      <c r="B434" s="705"/>
      <c r="C434" s="720"/>
      <c r="D434" s="1090" t="s">
        <v>152</v>
      </c>
      <c r="E434" s="1091" t="s">
        <v>153</v>
      </c>
      <c r="F434" s="1092">
        <f>F24+F33+F34+F62+F78+F93+F115+F127+F147+F159+F179+F193+F213+F227+F244+F266+F279+F300+F314+F332+F334+F361+F376+F377+F399+F407</f>
        <v>1.1891592</v>
      </c>
      <c r="G434" s="1092">
        <f t="shared" ref="G434:M434" si="14">G24+G33+G34+G62+G78+G93+G115+G127+G147+G159+G179+G193+G213+G227+G244+G266+G279+G300+G314+G332+G334+G361+G376+G377+G399+G407</f>
        <v>1.5188630699999999</v>
      </c>
      <c r="H434" s="1092">
        <f t="shared" si="14"/>
        <v>1.1415330000000001</v>
      </c>
      <c r="I434" s="1092">
        <f t="shared" si="14"/>
        <v>2.7581679100000005</v>
      </c>
      <c r="J434" s="1092">
        <f t="shared" si="14"/>
        <v>1.28651472</v>
      </c>
      <c r="K434" s="1092">
        <f t="shared" si="14"/>
        <v>4.5909356999999993</v>
      </c>
      <c r="L434" s="1092">
        <f t="shared" si="14"/>
        <v>1.5528912300000002</v>
      </c>
      <c r="M434" s="1092">
        <f t="shared" si="14"/>
        <v>2.1952665200000006</v>
      </c>
    </row>
    <row r="435" spans="2:13" s="70" customFormat="1" ht="20.100000000000001" customHeight="1" x14ac:dyDescent="0.25">
      <c r="B435" s="232"/>
      <c r="C435" s="693"/>
      <c r="D435" s="651" t="s">
        <v>140</v>
      </c>
      <c r="E435" s="233" t="s">
        <v>141</v>
      </c>
      <c r="F435" s="125">
        <f t="shared" ref="F435:M435" si="15">F18+F56+F72+F87+F109+F121+F141+F153+F173+F187+F207+F221+F238+F260+F273+F294+F308+F326+F355+F370</f>
        <v>2.23E-2</v>
      </c>
      <c r="G435" s="125">
        <f t="shared" si="15"/>
        <v>6.9499999999999992E-2</v>
      </c>
      <c r="H435" s="125">
        <f t="shared" si="15"/>
        <v>4.0749999999999995E-2</v>
      </c>
      <c r="I435" s="125">
        <f t="shared" si="15"/>
        <v>0.15207000000000004</v>
      </c>
      <c r="J435" s="125">
        <f t="shared" si="15"/>
        <v>6.5289999999999987E-2</v>
      </c>
      <c r="K435" s="125">
        <f t="shared" si="15"/>
        <v>0.25643000000000005</v>
      </c>
      <c r="L435" s="125">
        <f t="shared" si="15"/>
        <v>6.4102000000000006E-2</v>
      </c>
      <c r="M435" s="125">
        <f t="shared" si="15"/>
        <v>0.120501</v>
      </c>
    </row>
    <row r="436" spans="2:13" s="70" customFormat="1" ht="20.100000000000001" customHeight="1" x14ac:dyDescent="0.25">
      <c r="B436" s="232"/>
      <c r="C436" s="693"/>
      <c r="D436" s="651" t="s">
        <v>147</v>
      </c>
      <c r="E436" s="233" t="s">
        <v>148</v>
      </c>
      <c r="F436" s="125">
        <f t="shared" ref="F436:M436" si="16">F21+F59+F75+F90+F112+F124+F144+F156+F176+F190+F210+F224+F241+F263+F276+F297+F311+F329+F358+F373</f>
        <v>9.7799999999999984E-2</v>
      </c>
      <c r="G436" s="125">
        <f t="shared" si="16"/>
        <v>0.30610000000000004</v>
      </c>
      <c r="H436" s="125">
        <f t="shared" si="16"/>
        <v>0.17950000000000002</v>
      </c>
      <c r="I436" s="125">
        <f t="shared" si="16"/>
        <v>0.66930000000000001</v>
      </c>
      <c r="J436" s="125">
        <f t="shared" si="16"/>
        <v>0.28750000000000003</v>
      </c>
      <c r="K436" s="125">
        <f t="shared" si="16"/>
        <v>1.1280999999999999</v>
      </c>
      <c r="L436" s="125">
        <f t="shared" si="16"/>
        <v>0.28211000000000003</v>
      </c>
      <c r="M436" s="125">
        <f t="shared" si="16"/>
        <v>0.52990399999999993</v>
      </c>
    </row>
    <row r="437" spans="2:13" s="70" customFormat="1" ht="20.100000000000001" customHeight="1" x14ac:dyDescent="0.25">
      <c r="B437" s="232"/>
      <c r="C437" s="693"/>
      <c r="D437" s="651" t="s">
        <v>103</v>
      </c>
      <c r="E437" s="233" t="s">
        <v>104</v>
      </c>
      <c r="F437" s="125">
        <f t="shared" ref="F437:M437" si="17">F11+F48+F69+F84+F100+F135+F167+F201+F234+F252+F292+F306+F324+F349</f>
        <v>0.2989</v>
      </c>
      <c r="G437" s="125">
        <f t="shared" si="17"/>
        <v>0.33231999999999995</v>
      </c>
      <c r="H437" s="125">
        <f t="shared" si="17"/>
        <v>0.99519999999999997</v>
      </c>
      <c r="I437" s="125">
        <f t="shared" si="17"/>
        <v>1.44726</v>
      </c>
      <c r="J437" s="125">
        <f t="shared" si="17"/>
        <v>1.1314</v>
      </c>
      <c r="K437" s="125">
        <f t="shared" si="17"/>
        <v>1.8004250000000002</v>
      </c>
      <c r="L437" s="125">
        <f t="shared" si="17"/>
        <v>0.36529999999999996</v>
      </c>
      <c r="M437" s="125">
        <f t="shared" si="17"/>
        <v>1.0050299999999999</v>
      </c>
    </row>
    <row r="438" spans="2:13" s="70" customFormat="1" ht="20.100000000000001" customHeight="1" x14ac:dyDescent="0.25">
      <c r="B438" s="232"/>
      <c r="C438" s="693"/>
      <c r="D438" s="651" t="s">
        <v>117</v>
      </c>
      <c r="E438" s="233" t="s">
        <v>118</v>
      </c>
      <c r="F438" s="125">
        <f t="shared" ref="F438:M438" si="18">F17+F53+F108+F256+F291+F323+F352</f>
        <v>8.5099999999999995E-2</v>
      </c>
      <c r="G438" s="125">
        <f t="shared" si="18"/>
        <v>0.1482</v>
      </c>
      <c r="H438" s="125">
        <f t="shared" si="18"/>
        <v>0.16399999999999998</v>
      </c>
      <c r="I438" s="125">
        <f t="shared" si="18"/>
        <v>0.11080999999999999</v>
      </c>
      <c r="J438" s="125">
        <f t="shared" si="18"/>
        <v>0.59000000000000008</v>
      </c>
      <c r="K438" s="125">
        <f t="shared" si="18"/>
        <v>1.6383999999999999</v>
      </c>
      <c r="L438" s="125">
        <f t="shared" si="18"/>
        <v>4.5699999999999998E-2</v>
      </c>
      <c r="M438" s="125">
        <f t="shared" si="18"/>
        <v>1.9199999999999998E-2</v>
      </c>
    </row>
    <row r="439" spans="2:13" s="70" customFormat="1" ht="20.100000000000001" customHeight="1" x14ac:dyDescent="0.25">
      <c r="B439" s="232"/>
      <c r="C439" s="693"/>
      <c r="D439" s="651" t="s">
        <v>1152</v>
      </c>
      <c r="E439" s="233" t="s">
        <v>1153</v>
      </c>
      <c r="F439" s="125">
        <f>F41+F341+F384+F406+F414</f>
        <v>1.4999999999999998E-6</v>
      </c>
      <c r="G439" s="125">
        <f t="shared" ref="G439:M439" si="19">G41+G341+G384+G406+G414</f>
        <v>5.9000000000000007E-7</v>
      </c>
      <c r="H439" s="125">
        <f t="shared" si="19"/>
        <v>7.9999999999999996E-7</v>
      </c>
      <c r="I439" s="125">
        <f t="shared" si="19"/>
        <v>1.4999999999999999E-7</v>
      </c>
      <c r="J439" s="125">
        <f t="shared" si="19"/>
        <v>1.9999999999999999E-7</v>
      </c>
      <c r="K439" s="125">
        <f t="shared" si="19"/>
        <v>9.9999999999999995E-8</v>
      </c>
      <c r="L439" s="125">
        <f t="shared" si="19"/>
        <v>7.9999999999999996E-7</v>
      </c>
      <c r="M439" s="125">
        <f t="shared" si="19"/>
        <v>1.9999999999999999E-7</v>
      </c>
    </row>
    <row r="440" spans="2:13" s="70" customFormat="1" ht="20.100000000000001" customHeight="1" x14ac:dyDescent="0.25">
      <c r="B440" s="232"/>
      <c r="C440" s="693"/>
      <c r="D440" s="704" t="s">
        <v>158</v>
      </c>
      <c r="E440" s="233" t="s">
        <v>159</v>
      </c>
      <c r="F440" s="125">
        <f t="shared" ref="F440:M440" si="20">F25+F63+F116+F128+F148+F160+F180+F194+F214+F228+F245+F267+F280+F301+F315+F333+F362</f>
        <v>3.9600000000000002E-6</v>
      </c>
      <c r="G440" s="125">
        <f t="shared" si="20"/>
        <v>5.6599999999999992E-6</v>
      </c>
      <c r="H440" s="125">
        <f t="shared" si="20"/>
        <v>1.446E-5</v>
      </c>
      <c r="I440" s="125">
        <f t="shared" si="20"/>
        <v>2.0769999999999999E-5</v>
      </c>
      <c r="J440" s="125">
        <f t="shared" si="20"/>
        <v>6.1E-6</v>
      </c>
      <c r="K440" s="125">
        <f t="shared" si="20"/>
        <v>6.5599999999999999E-6</v>
      </c>
      <c r="L440" s="125">
        <f t="shared" si="20"/>
        <v>5.9000000000000007E-7</v>
      </c>
      <c r="M440" s="125">
        <f t="shared" si="20"/>
        <v>6.6999999999999994E-7</v>
      </c>
    </row>
    <row r="441" spans="2:13" s="70" customFormat="1" ht="20.100000000000001" customHeight="1" x14ac:dyDescent="0.25">
      <c r="B441" s="232"/>
      <c r="C441" s="693"/>
      <c r="D441" s="704" t="s">
        <v>111</v>
      </c>
      <c r="E441" s="233" t="s">
        <v>112</v>
      </c>
      <c r="F441" s="125">
        <f t="shared" ref="F441:M441" si="21">F13+F49+F103+F253+F289+F321+F350</f>
        <v>0.10289999999999999</v>
      </c>
      <c r="G441" s="125">
        <f t="shared" si="21"/>
        <v>5.1360000000000003E-2</v>
      </c>
      <c r="H441" s="125">
        <f t="shared" si="21"/>
        <v>0.28350000000000003</v>
      </c>
      <c r="I441" s="125">
        <f t="shared" si="21"/>
        <v>4.5670000000000002E-2</v>
      </c>
      <c r="J441" s="125">
        <f t="shared" si="21"/>
        <v>0.72100000000000009</v>
      </c>
      <c r="K441" s="125">
        <f t="shared" si="21"/>
        <v>0.78673999999999999</v>
      </c>
      <c r="L441" s="125">
        <f t="shared" si="21"/>
        <v>4.3E-3</v>
      </c>
      <c r="M441" s="125">
        <f t="shared" si="21"/>
        <v>1.7799999999999999E-3</v>
      </c>
    </row>
    <row r="442" spans="2:13" s="70" customFormat="1" ht="20.100000000000001" customHeight="1" x14ac:dyDescent="0.25">
      <c r="B442" s="232"/>
      <c r="C442" s="693"/>
      <c r="D442" s="704" t="s">
        <v>274</v>
      </c>
      <c r="E442" s="233" t="s">
        <v>275</v>
      </c>
      <c r="F442" s="125">
        <f t="shared" ref="F442:M442" si="22">F102+F254+F290+F322+F351</f>
        <v>1.9699999999999999E-2</v>
      </c>
      <c r="G442" s="125">
        <f t="shared" si="22"/>
        <v>2.07E-2</v>
      </c>
      <c r="H442" s="125">
        <f t="shared" si="22"/>
        <v>5.5800000000000002E-2</v>
      </c>
      <c r="I442" s="125">
        <f t="shared" si="22"/>
        <v>1.9400000000000001E-2</v>
      </c>
      <c r="J442" s="125">
        <f t="shared" si="22"/>
        <v>0.14330000000000001</v>
      </c>
      <c r="K442" s="125">
        <f t="shared" si="22"/>
        <v>0.34899999999999998</v>
      </c>
      <c r="L442" s="125">
        <f t="shared" si="22"/>
        <v>0</v>
      </c>
      <c r="M442" s="125">
        <f t="shared" si="22"/>
        <v>0</v>
      </c>
    </row>
    <row r="443" spans="2:13" s="70" customFormat="1" ht="20.100000000000001" customHeight="1" x14ac:dyDescent="0.25">
      <c r="B443" s="232"/>
      <c r="C443" s="693"/>
      <c r="D443" s="704" t="s">
        <v>415</v>
      </c>
      <c r="E443" s="233" t="s">
        <v>416</v>
      </c>
      <c r="F443" s="125">
        <f t="shared" ref="F443:M443" si="23">F140+F172+F206+F237</f>
        <v>0</v>
      </c>
      <c r="G443" s="125">
        <f t="shared" si="23"/>
        <v>0</v>
      </c>
      <c r="H443" s="125">
        <f t="shared" si="23"/>
        <v>3.49E-2</v>
      </c>
      <c r="I443" s="125">
        <f t="shared" si="23"/>
        <v>9.8999999999999991E-3</v>
      </c>
      <c r="J443" s="125">
        <f t="shared" si="23"/>
        <v>6.4000000000000003E-3</v>
      </c>
      <c r="K443" s="125">
        <f t="shared" si="23"/>
        <v>1.31E-3</v>
      </c>
      <c r="L443" s="125">
        <f t="shared" si="23"/>
        <v>0</v>
      </c>
      <c r="M443" s="125">
        <f t="shared" si="23"/>
        <v>0</v>
      </c>
    </row>
    <row r="444" spans="2:13" s="70" customFormat="1" ht="20.100000000000001" customHeight="1" x14ac:dyDescent="0.25">
      <c r="B444" s="232"/>
      <c r="C444" s="693"/>
      <c r="D444" s="704" t="s">
        <v>115</v>
      </c>
      <c r="E444" s="233" t="s">
        <v>116</v>
      </c>
      <c r="F444" s="125">
        <f t="shared" ref="F444:M444" si="24">F15+F51+F105+F138+F170+F204+F236+F255+F288+F320+F348</f>
        <v>0.14410000000000001</v>
      </c>
      <c r="G444" s="125">
        <f t="shared" si="24"/>
        <v>0.24309999999999998</v>
      </c>
      <c r="H444" s="125">
        <f t="shared" si="24"/>
        <v>0.49919999999999998</v>
      </c>
      <c r="I444" s="125">
        <f t="shared" si="24"/>
        <v>0.48914000000000002</v>
      </c>
      <c r="J444" s="125">
        <f t="shared" si="24"/>
        <v>0.85260000000000002</v>
      </c>
      <c r="K444" s="125">
        <f t="shared" si="24"/>
        <v>2.6990999999999996</v>
      </c>
      <c r="L444" s="125">
        <f t="shared" si="24"/>
        <v>3.5099999999999999E-2</v>
      </c>
      <c r="M444" s="125">
        <f t="shared" si="24"/>
        <v>1.6199999999999999E-2</v>
      </c>
    </row>
    <row r="445" spans="2:13" s="70" customFormat="1" ht="20.100000000000001" customHeight="1" x14ac:dyDescent="0.25">
      <c r="B445" s="232"/>
      <c r="C445" s="693"/>
      <c r="D445" s="704" t="s">
        <v>120</v>
      </c>
      <c r="E445" s="233" t="s">
        <v>121</v>
      </c>
      <c r="F445" s="125">
        <f>F16+F52</f>
        <v>1.7000000000000001E-2</v>
      </c>
      <c r="G445" s="125">
        <f>G16+G52</f>
        <v>3.9800000000000002E-2</v>
      </c>
      <c r="H445" s="125">
        <f t="shared" ref="H445:M445" si="25">H16+H52+H106</f>
        <v>1.7000000000000001E-2</v>
      </c>
      <c r="I445" s="125">
        <f t="shared" si="25"/>
        <v>2.6499999999999999E-2</v>
      </c>
      <c r="J445" s="125">
        <f t="shared" si="25"/>
        <v>0.1462</v>
      </c>
      <c r="K445" s="125">
        <f t="shared" si="25"/>
        <v>0.35009999999999997</v>
      </c>
      <c r="L445" s="125">
        <f t="shared" si="25"/>
        <v>1.7000000000000001E-2</v>
      </c>
      <c r="M445" s="125">
        <f t="shared" si="25"/>
        <v>7.1000000000000004E-3</v>
      </c>
    </row>
    <row r="446" spans="2:13" s="70" customFormat="1" ht="20.100000000000001" customHeight="1" x14ac:dyDescent="0.25">
      <c r="B446" s="232"/>
      <c r="C446" s="693"/>
      <c r="D446" s="138" t="s">
        <v>170</v>
      </c>
      <c r="E446" s="233" t="s">
        <v>171</v>
      </c>
      <c r="F446" s="125">
        <f>F40+F340+F383+F405+F413</f>
        <v>1.52E-2</v>
      </c>
      <c r="G446" s="125">
        <f t="shared" ref="G446:M446" si="26">G40+G340+G383+G405+G413</f>
        <v>5.5300000000000002E-3</v>
      </c>
      <c r="H446" s="125">
        <f t="shared" si="26"/>
        <v>7.7000000000000002E-3</v>
      </c>
      <c r="I446" s="125">
        <f t="shared" si="26"/>
        <v>1.1800000000000001E-3</v>
      </c>
      <c r="J446" s="125">
        <f t="shared" si="26"/>
        <v>2.0999999999999999E-3</v>
      </c>
      <c r="K446" s="125">
        <f t="shared" si="26"/>
        <v>8.7000000000000001E-4</v>
      </c>
      <c r="L446" s="125">
        <f t="shared" si="26"/>
        <v>7.7000000000000002E-3</v>
      </c>
      <c r="M446" s="125">
        <f t="shared" si="26"/>
        <v>1.17E-3</v>
      </c>
    </row>
    <row r="447" spans="2:13" s="70" customFormat="1" ht="20.100000000000001" customHeight="1" x14ac:dyDescent="0.25">
      <c r="B447" s="232"/>
      <c r="C447" s="693"/>
      <c r="D447" s="138" t="s">
        <v>113</v>
      </c>
      <c r="E447" s="233" t="s">
        <v>114</v>
      </c>
      <c r="F447" s="125">
        <f t="shared" ref="F447:M447" si="27">F14+F50+F104+F137+F169+F203+F235+F258</f>
        <v>4.3E-3</v>
      </c>
      <c r="G447" s="125">
        <f t="shared" si="27"/>
        <v>9.9000000000000008E-3</v>
      </c>
      <c r="H447" s="125">
        <f t="shared" si="27"/>
        <v>4.1299999999999996E-2</v>
      </c>
      <c r="I447" s="125">
        <f t="shared" si="27"/>
        <v>1.6800000000000002E-2</v>
      </c>
      <c r="J447" s="125">
        <f t="shared" si="27"/>
        <v>4.3000000000000003E-2</v>
      </c>
      <c r="K447" s="125">
        <f t="shared" si="27"/>
        <v>9.1010999999999981E-2</v>
      </c>
      <c r="L447" s="125">
        <f t="shared" si="27"/>
        <v>4.3E-3</v>
      </c>
      <c r="M447" s="125">
        <f t="shared" si="27"/>
        <v>1.8E-3</v>
      </c>
    </row>
    <row r="448" spans="2:13" s="70" customFormat="1" ht="20.100000000000001" customHeight="1" x14ac:dyDescent="0.25">
      <c r="B448" s="232"/>
      <c r="C448" s="693"/>
      <c r="D448" s="138" t="s">
        <v>271</v>
      </c>
      <c r="E448" s="233" t="s">
        <v>272</v>
      </c>
      <c r="F448" s="125">
        <f t="shared" ref="F448:M448" si="28">F259</f>
        <v>0</v>
      </c>
      <c r="G448" s="125">
        <f t="shared" si="28"/>
        <v>0</v>
      </c>
      <c r="H448" s="125">
        <f t="shared" si="28"/>
        <v>2.8E-3</v>
      </c>
      <c r="I448" s="125">
        <f t="shared" si="28"/>
        <v>1.7000000000000001E-4</v>
      </c>
      <c r="J448" s="125">
        <f t="shared" si="28"/>
        <v>0</v>
      </c>
      <c r="K448" s="125">
        <f t="shared" si="28"/>
        <v>0</v>
      </c>
      <c r="L448" s="125">
        <f t="shared" si="28"/>
        <v>0</v>
      </c>
      <c r="M448" s="125">
        <f t="shared" si="28"/>
        <v>0</v>
      </c>
    </row>
    <row r="449" spans="1:13" s="70" customFormat="1" ht="20.100000000000001" customHeight="1" x14ac:dyDescent="0.25">
      <c r="B449" s="232"/>
      <c r="C449" s="693"/>
      <c r="D449" s="138" t="s">
        <v>108</v>
      </c>
      <c r="E449" s="233" t="s">
        <v>109</v>
      </c>
      <c r="F449" s="125">
        <f t="shared" ref="F449:M449" si="29">F12+F55+F70+F86+F101+F136+F168+F202+F354</f>
        <v>4.5600000000000002E-2</v>
      </c>
      <c r="G449" s="125">
        <f t="shared" si="29"/>
        <v>1.14E-2</v>
      </c>
      <c r="H449" s="125">
        <f t="shared" si="29"/>
        <v>6.8400000000000002E-2</v>
      </c>
      <c r="I449" s="125">
        <f t="shared" si="29"/>
        <v>1.3299999999999999E-2</v>
      </c>
      <c r="J449" s="125">
        <f t="shared" si="29"/>
        <v>0.999</v>
      </c>
      <c r="K449" s="125">
        <f t="shared" si="29"/>
        <v>2.4249299999999998</v>
      </c>
      <c r="L449" s="125">
        <f t="shared" si="29"/>
        <v>0.1003</v>
      </c>
      <c r="M449" s="125">
        <f t="shared" si="29"/>
        <v>7.2099999999999997E-2</v>
      </c>
    </row>
    <row r="450" spans="1:13" s="70" customFormat="1" ht="20.100000000000001" customHeight="1" x14ac:dyDescent="0.25">
      <c r="B450" s="232"/>
      <c r="C450" s="693"/>
      <c r="D450" s="138" t="s">
        <v>106</v>
      </c>
      <c r="E450" s="233" t="s">
        <v>107</v>
      </c>
      <c r="F450" s="125">
        <f t="shared" ref="F450:M450" si="30">F10+F54+F68+F85+F99+F134+F166+F200+F257+F293+F307+F325+F353</f>
        <v>0.1167</v>
      </c>
      <c r="G450" s="125">
        <f t="shared" si="30"/>
        <v>4.2299999999999997E-2</v>
      </c>
      <c r="H450" s="125">
        <f t="shared" si="30"/>
        <v>0.21049999999999999</v>
      </c>
      <c r="I450" s="125">
        <f t="shared" si="30"/>
        <v>6.812E-2</v>
      </c>
      <c r="J450" s="125">
        <f t="shared" si="30"/>
        <v>0.86399999999999999</v>
      </c>
      <c r="K450" s="125">
        <f t="shared" si="30"/>
        <v>0.91500000000000004</v>
      </c>
      <c r="L450" s="125">
        <f t="shared" si="30"/>
        <v>0.18940000000000001</v>
      </c>
      <c r="M450" s="125">
        <f t="shared" si="30"/>
        <v>0.58809999999999996</v>
      </c>
    </row>
    <row r="451" spans="1:13" ht="20.100000000000001" customHeight="1" x14ac:dyDescent="0.25">
      <c r="D451" s="138" t="s">
        <v>183</v>
      </c>
      <c r="E451" s="678">
        <v>2754</v>
      </c>
      <c r="F451" s="125">
        <f>F8+F37+F43+F47+F64+F71+F79+F94+F107+F117+F129+F139+F149+F161+F171+F181+F185+F195+F205+F215+F219+F229+F246+F250+F268+F272+F281+F285+F302+F316+F337+F343+F347+F363+F364+F368+F380+F390+F386+F393+F402+F410</f>
        <v>1.3012999999999997</v>
      </c>
      <c r="G451" s="125">
        <f t="shared" ref="G451:M451" si="31">G8+G37+G43+G47+G64+G71+G79+G94+G107+G117+G129+G139+G149+G161+G171+G181+G185+G195+G205+G215+G219+G229+G246+G250+G268+G272+G281+G285+G302+G316+G337+G343+G347+G363+G364+G368+G380+G390+G386+G393+G402+G410</f>
        <v>0.56729999999999992</v>
      </c>
      <c r="H451" s="125">
        <f t="shared" si="31"/>
        <v>2.6386999999999996</v>
      </c>
      <c r="I451" s="125">
        <f t="shared" si="31"/>
        <v>4.0375200000000007</v>
      </c>
      <c r="J451" s="125">
        <f t="shared" si="31"/>
        <v>1.3970999999999998</v>
      </c>
      <c r="K451" s="125">
        <f t="shared" si="31"/>
        <v>2.2606100000000002</v>
      </c>
      <c r="L451" s="125">
        <f t="shared" si="31"/>
        <v>1.3965999999999996</v>
      </c>
      <c r="M451" s="125">
        <f t="shared" si="31"/>
        <v>3.3737399999999997</v>
      </c>
    </row>
    <row r="452" spans="1:13" s="706" customFormat="1" ht="20.100000000000001" customHeight="1" x14ac:dyDescent="0.25">
      <c r="B452" s="705"/>
      <c r="C452" s="720"/>
      <c r="D452" s="1095" t="s">
        <v>48</v>
      </c>
      <c r="E452" s="1096" t="s">
        <v>49</v>
      </c>
      <c r="F452" s="1097">
        <f>F5+F6+F7+F9+F23+F31+F42+F45+F46+F61+F66+F67+F77+F81+F82+F83+F92+F96+F97+F98+F114+F119+F120+F126+F131+F132+F133+F146+F151+F152+F158+F163+F164+F165+F178+F183+F184+F186+F192+F197+F198+F199+F212+F217+F218+F220+F226+F231+F232+F233+F243+F248+F249+F251+F265+F270+F271+F278+F283+F284+F286+F287+F299+F304+F305+F313+F318+F319+F331+F342+F345+F346+F360+F366+F367+F369+F375+F385+F388+F389+F392+F395+F396+F397+F398</f>
        <v>3.8300399999999999</v>
      </c>
      <c r="G452" s="1097">
        <f t="shared" ref="G452:M452" si="32">G5+G6+G7+G9+G23+G31+G42+G45+G46+G61+G66+G67+G77+G81+G82+G83+G92+G96+G97+G98+G114+G119+G120+G126+G131+G132+G133+G146+G151+G152+G158+G163+G164+G165+G178+G183+G184+G186+G192+G197+G198+G199+G212+G217+G218+G220+G226+G231+G232+G233+G243+G248+G249+G251+G265+G270+G271+G278+G283+G284+G286+G287+G299+G304+G305+G313+G318+G319+G331+G342+G345+G346+G360+G366+G367+G369+G375+G385+G388+G389+G392+G395+G396+G397+G398</f>
        <v>8.1181100000000033</v>
      </c>
      <c r="H452" s="1097">
        <f t="shared" si="32"/>
        <v>3.1032999999999995</v>
      </c>
      <c r="I452" s="1097">
        <f t="shared" si="32"/>
        <v>5.8490860000000007</v>
      </c>
      <c r="J452" s="1097">
        <f t="shared" si="32"/>
        <v>2.87338</v>
      </c>
      <c r="K452" s="1097">
        <f t="shared" si="32"/>
        <v>4.1184319999999994</v>
      </c>
      <c r="L452" s="1097">
        <f t="shared" si="32"/>
        <v>1.1456440000000001</v>
      </c>
      <c r="M452" s="1097">
        <f t="shared" si="32"/>
        <v>1.094212</v>
      </c>
    </row>
    <row r="453" spans="1:13" ht="20.100000000000001" customHeight="1" x14ac:dyDescent="0.25">
      <c r="D453" s="1695" t="s">
        <v>906</v>
      </c>
      <c r="E453" s="1696"/>
      <c r="F453" s="213">
        <f>SUM(F424:F452)</f>
        <v>9.4163846600000003</v>
      </c>
      <c r="G453" s="213">
        <f t="shared" ref="G453:M453" si="33">SUM(G424:G452)</f>
        <v>13.197212320000004</v>
      </c>
      <c r="H453" s="213">
        <f t="shared" si="33"/>
        <v>11.297828259999998</v>
      </c>
      <c r="I453" s="213">
        <f t="shared" si="33"/>
        <v>18.529012830000003</v>
      </c>
      <c r="J453" s="213">
        <f t="shared" si="33"/>
        <v>13.153681020000001</v>
      </c>
      <c r="K453" s="213">
        <f t="shared" si="33"/>
        <v>28.019091859999996</v>
      </c>
      <c r="L453" s="213">
        <f t="shared" si="33"/>
        <v>7.4271456199999975</v>
      </c>
      <c r="M453" s="213">
        <f t="shared" si="33"/>
        <v>11.246001390000002</v>
      </c>
    </row>
    <row r="454" spans="1:13" s="706" customFormat="1" x14ac:dyDescent="0.25">
      <c r="B454" s="705"/>
      <c r="C454" s="720"/>
      <c r="D454" s="707"/>
      <c r="E454" s="69"/>
      <c r="F454" s="748">
        <f>F415-F453</f>
        <v>0</v>
      </c>
      <c r="G454" s="748">
        <f t="shared" ref="G454:M454" si="34">G415-G453</f>
        <v>0</v>
      </c>
      <c r="H454" s="748">
        <f t="shared" si="34"/>
        <v>0</v>
      </c>
      <c r="I454" s="748">
        <f t="shared" si="34"/>
        <v>0</v>
      </c>
      <c r="J454" s="748">
        <f t="shared" si="34"/>
        <v>0</v>
      </c>
      <c r="K454" s="748">
        <f t="shared" si="34"/>
        <v>0</v>
      </c>
      <c r="L454" s="748">
        <f t="shared" si="34"/>
        <v>0</v>
      </c>
      <c r="M454" s="748">
        <f t="shared" si="34"/>
        <v>0</v>
      </c>
    </row>
    <row r="457" spans="1:13" s="697" customFormat="1" ht="12.75" x14ac:dyDescent="0.2">
      <c r="B457" s="696"/>
      <c r="C457" s="719"/>
      <c r="D457" s="698"/>
      <c r="E457" s="723"/>
      <c r="F457" s="172"/>
      <c r="G457" s="172"/>
      <c r="H457" s="172"/>
      <c r="I457" s="172"/>
      <c r="J457" s="172"/>
      <c r="K457" s="172"/>
      <c r="L457" s="172"/>
      <c r="M457" s="172"/>
    </row>
    <row r="458" spans="1:13" s="709" customFormat="1" ht="28.5" customHeight="1" x14ac:dyDescent="0.3">
      <c r="A458" s="615"/>
      <c r="B458" s="699"/>
      <c r="C458" s="612"/>
      <c r="D458" s="1705" t="s">
        <v>1014</v>
      </c>
      <c r="E458" s="1705"/>
      <c r="F458" s="1705"/>
      <c r="G458" s="1705"/>
      <c r="H458" s="1705"/>
      <c r="I458" s="1705"/>
      <c r="J458" s="1705"/>
      <c r="K458" s="1705"/>
      <c r="L458" s="1705"/>
      <c r="M458" s="708"/>
    </row>
    <row r="459" spans="1:13" s="701" customFormat="1" ht="19.5" customHeight="1" x14ac:dyDescent="0.25">
      <c r="A459" s="104"/>
      <c r="B459" s="232"/>
      <c r="C459" s="335"/>
      <c r="D459" s="617"/>
      <c r="E459" s="68"/>
      <c r="F459" s="1704" t="s">
        <v>5</v>
      </c>
      <c r="G459" s="1704"/>
      <c r="H459" s="1704" t="s">
        <v>11</v>
      </c>
      <c r="I459" s="1704"/>
      <c r="J459" s="1704" t="s">
        <v>60</v>
      </c>
      <c r="K459" s="1704"/>
      <c r="L459" s="68" t="s">
        <v>63</v>
      </c>
      <c r="M459" s="68" t="s">
        <v>63</v>
      </c>
    </row>
    <row r="460" spans="1:13" s="711" customFormat="1" ht="21.75" customHeight="1" x14ac:dyDescent="0.25">
      <c r="A460" s="335"/>
      <c r="B460" s="232"/>
      <c r="C460" s="213" t="s">
        <v>901</v>
      </c>
      <c r="D460" s="710" t="s">
        <v>902</v>
      </c>
      <c r="E460" s="213" t="s">
        <v>903</v>
      </c>
      <c r="F460" s="213" t="s">
        <v>46</v>
      </c>
      <c r="G460" s="213" t="s">
        <v>45</v>
      </c>
      <c r="H460" s="213" t="s">
        <v>46</v>
      </c>
      <c r="I460" s="213" t="s">
        <v>45</v>
      </c>
      <c r="J460" s="213" t="s">
        <v>46</v>
      </c>
      <c r="K460" s="213" t="s">
        <v>45</v>
      </c>
      <c r="L460" s="213" t="s">
        <v>46</v>
      </c>
      <c r="M460" s="213" t="s">
        <v>46</v>
      </c>
    </row>
    <row r="461" spans="1:13" ht="16.5" customHeight="1" x14ac:dyDescent="0.25">
      <c r="A461" s="70"/>
      <c r="B461" s="1702" t="s">
        <v>543</v>
      </c>
      <c r="C461" s="671">
        <v>7129</v>
      </c>
      <c r="D461" s="139" t="str">
        <f>'1.15автотранспорт'!AC184</f>
        <v>Азота диоксид</v>
      </c>
      <c r="E461" s="231" t="str">
        <f>'1.15автотранспорт'!AD184</f>
        <v>0301</v>
      </c>
      <c r="F461" s="231">
        <f>'1.15автотранспорт'!AE184</f>
        <v>0.2545</v>
      </c>
      <c r="G461" s="231">
        <f>'1.15автотранспорт'!AF184</f>
        <v>164.13909999999996</v>
      </c>
      <c r="H461" s="231">
        <f>'1.15автотранспорт'!AE389</f>
        <v>0.38169999999999998</v>
      </c>
      <c r="I461" s="231">
        <f>'1.15автотранспорт'!AF389</f>
        <v>425.54880000000009</v>
      </c>
      <c r="J461" s="231">
        <f>'1.15автотранспорт'!AE588</f>
        <v>0.38169999999999998</v>
      </c>
      <c r="K461" s="231">
        <f>'1.15автотранспорт'!AF588</f>
        <v>282.13830000000007</v>
      </c>
      <c r="L461" s="231">
        <f>'1.15автотранспорт'!AE739</f>
        <v>0.38169999999999998</v>
      </c>
      <c r="M461" s="231">
        <f>'1.15автотранспорт'!AF739</f>
        <v>21.994000000000003</v>
      </c>
    </row>
    <row r="462" spans="1:13" x14ac:dyDescent="0.25">
      <c r="A462" s="70"/>
      <c r="B462" s="1703"/>
      <c r="C462" s="668"/>
      <c r="D462" s="141" t="str">
        <f>'1.15автотранспорт'!AC185</f>
        <v>Азота оксид</v>
      </c>
      <c r="E462" s="126" t="str">
        <f>'1.15автотранспорт'!AD185</f>
        <v>0304</v>
      </c>
      <c r="F462" s="126">
        <f>'1.15автотранспорт'!AE185</f>
        <v>4.1300000000000003E-2</v>
      </c>
      <c r="G462" s="126">
        <f>'1.15автотранспорт'!AF185</f>
        <v>26.672699999999999</v>
      </c>
      <c r="H462" s="126">
        <f>'1.15автотранспорт'!AE390</f>
        <v>6.2E-2</v>
      </c>
      <c r="I462" s="126">
        <f>'1.15автотранспорт'!AF390</f>
        <v>69.151600000000002</v>
      </c>
      <c r="J462" s="126">
        <f>'1.15автотранспорт'!AE589</f>
        <v>6.2E-2</v>
      </c>
      <c r="K462" s="126">
        <f>'1.15автотранспорт'!AF589</f>
        <v>45.847499999999997</v>
      </c>
      <c r="L462" s="126">
        <f>'1.15автотранспорт'!AE740</f>
        <v>6.2E-2</v>
      </c>
      <c r="M462" s="126">
        <f>'1.15автотранспорт'!AF740</f>
        <v>3.5739000000000014</v>
      </c>
    </row>
    <row r="463" spans="1:13" x14ac:dyDescent="0.25">
      <c r="A463" s="70"/>
      <c r="B463" s="1703"/>
      <c r="C463" s="668"/>
      <c r="D463" s="141" t="str">
        <f>'1.15автотранспорт'!AC186</f>
        <v>Серы диоксид</v>
      </c>
      <c r="E463" s="126" t="str">
        <f>'1.15автотранспорт'!AD186</f>
        <v>0330</v>
      </c>
      <c r="F463" s="126">
        <f>'1.15автотранспорт'!AE186</f>
        <v>2.9100000000000001E-2</v>
      </c>
      <c r="G463" s="126">
        <f>'1.15автотранспорт'!AF186</f>
        <v>21.38389999999999</v>
      </c>
      <c r="H463" s="126">
        <f>'1.15автотранспорт'!AE391</f>
        <v>4.36E-2</v>
      </c>
      <c r="I463" s="126">
        <f>'1.15автотранспорт'!AF391</f>
        <v>51.490499999999983</v>
      </c>
      <c r="J463" s="126">
        <f>'1.15автотранспорт'!AE590</f>
        <v>4.36E-2</v>
      </c>
      <c r="K463" s="126">
        <f>'1.15автотранспорт'!AF590</f>
        <v>34.108499999999992</v>
      </c>
      <c r="L463" s="126">
        <f>'1.15автотранспорт'!AE741</f>
        <v>4.36E-2</v>
      </c>
      <c r="M463" s="126">
        <f>'1.15автотранспорт'!AF741</f>
        <v>2.9603000000000002</v>
      </c>
    </row>
    <row r="464" spans="1:13" x14ac:dyDescent="0.25">
      <c r="A464" s="70"/>
      <c r="B464" s="1703"/>
      <c r="C464" s="668"/>
      <c r="D464" s="141" t="str">
        <f>'1.15автотранспорт'!AC187</f>
        <v>Керосин</v>
      </c>
      <c r="E464" s="126" t="str">
        <f>'1.15автотранспорт'!AD187</f>
        <v>2732</v>
      </c>
      <c r="F464" s="126">
        <f>'1.15автотранспорт'!AE187</f>
        <v>6.6299999999999998E-2</v>
      </c>
      <c r="G464" s="126">
        <f>'1.15автотранспорт'!AF187</f>
        <v>37.80019999999999</v>
      </c>
      <c r="H464" s="126">
        <f>'1.15автотранспорт'!AE392</f>
        <v>9.9500000000000005E-2</v>
      </c>
      <c r="I464" s="126">
        <f>'1.15автотранспорт'!AF392</f>
        <v>100.69880000000005</v>
      </c>
      <c r="J464" s="126">
        <f>'1.15автотранспорт'!AE591</f>
        <v>9.9500000000000005E-2</v>
      </c>
      <c r="K464" s="126">
        <f>'1.15автотранспорт'!AF591</f>
        <v>66.882400000000004</v>
      </c>
      <c r="L464" s="126">
        <f>'1.15автотранспорт'!AE742</f>
        <v>9.9500000000000005E-2</v>
      </c>
      <c r="M464" s="126">
        <f>'1.15автотранспорт'!AF742</f>
        <v>5.6858999999999993</v>
      </c>
    </row>
    <row r="465" spans="1:13" x14ac:dyDescent="0.25">
      <c r="A465" s="70"/>
      <c r="B465" s="1703"/>
      <c r="C465" s="668"/>
      <c r="D465" s="141" t="str">
        <f>'1.15автотранспорт'!AC188</f>
        <v>Углерод (Сажа)</v>
      </c>
      <c r="E465" s="126" t="str">
        <f>'1.15автотранспорт'!AD188</f>
        <v>0328</v>
      </c>
      <c r="F465" s="126">
        <f>'1.15автотранспорт'!AE188</f>
        <v>4.7600000000000003E-2</v>
      </c>
      <c r="G465" s="126">
        <f>'1.15автотранспорт'!AF188</f>
        <v>25.882899999999985</v>
      </c>
      <c r="H465" s="126">
        <f>'1.15автотранспорт'!AE393</f>
        <v>7.1499999999999994E-2</v>
      </c>
      <c r="I465" s="126">
        <f>'1.15автотранспорт'!AF393</f>
        <v>71.821899999999985</v>
      </c>
      <c r="J465" s="126">
        <f>'1.15автотранспорт'!AE592</f>
        <v>7.1499999999999994E-2</v>
      </c>
      <c r="K465" s="126">
        <f>'1.15автотранспорт'!AF592</f>
        <v>47.614199999999975</v>
      </c>
      <c r="L465" s="126">
        <f>'1.15автотранспорт'!AE743</f>
        <v>7.1499999999999994E-2</v>
      </c>
      <c r="M465" s="126">
        <f>'1.15автотранспорт'!AF743</f>
        <v>4.4348000000000001</v>
      </c>
    </row>
    <row r="466" spans="1:13" x14ac:dyDescent="0.25">
      <c r="A466" s="70"/>
      <c r="B466" s="1703"/>
      <c r="C466" s="660"/>
      <c r="D466" s="142" t="str">
        <f>'1.15автотранспорт'!AC189</f>
        <v>Углерода оксид</v>
      </c>
      <c r="E466" s="253" t="str">
        <f>'1.15автотранспорт'!AD189</f>
        <v>0337</v>
      </c>
      <c r="F466" s="253">
        <f>'1.15автотранспорт'!AE189</f>
        <v>0.24079999999999999</v>
      </c>
      <c r="G466" s="253">
        <f>'1.15автотранспорт'!AF189</f>
        <v>112.83080000000002</v>
      </c>
      <c r="H466" s="253">
        <f>'1.15автотранспорт'!AE394</f>
        <v>0.36120000000000002</v>
      </c>
      <c r="I466" s="253">
        <f>'1.15автотранспорт'!AF394</f>
        <v>301.73439999999994</v>
      </c>
      <c r="J466" s="253">
        <f>'1.15автотранспорт'!AE593</f>
        <v>0.36120000000000002</v>
      </c>
      <c r="K466" s="253">
        <f>'1.15автотранспорт'!AF593</f>
        <v>201.28839999999991</v>
      </c>
      <c r="L466" s="253">
        <f>'1.15автотранспорт'!AE744</f>
        <v>0.36120000000000002</v>
      </c>
      <c r="M466" s="253">
        <f>'1.15автотранспорт'!AF744</f>
        <v>17.471900000000005</v>
      </c>
    </row>
    <row r="467" spans="1:13" s="713" customFormat="1" ht="15" customHeight="1" x14ac:dyDescent="0.25">
      <c r="A467" s="693"/>
      <c r="B467" s="712"/>
      <c r="C467" s="670"/>
      <c r="D467" s="710" t="s">
        <v>904</v>
      </c>
      <c r="E467" s="670"/>
      <c r="F467" s="213">
        <f>SUM(F461:F466)</f>
        <v>0.67959999999999998</v>
      </c>
      <c r="G467" s="213">
        <f t="shared" ref="G467:J467" si="35">SUM(G461:G466)</f>
        <v>388.70959999999991</v>
      </c>
      <c r="H467" s="213">
        <f t="shared" si="35"/>
        <v>1.0195000000000001</v>
      </c>
      <c r="I467" s="213">
        <f t="shared" si="35"/>
        <v>1020.446</v>
      </c>
      <c r="J467" s="213">
        <f t="shared" si="35"/>
        <v>1.0195000000000001</v>
      </c>
      <c r="K467" s="213">
        <f t="shared" ref="K467:L467" si="36">SUM(K461:K466)</f>
        <v>677.87929999999994</v>
      </c>
      <c r="L467" s="213">
        <f t="shared" si="36"/>
        <v>1.0195000000000001</v>
      </c>
      <c r="M467" s="213">
        <f t="shared" ref="M467" si="37">SUM(M461:M466)</f>
        <v>56.12080000000001</v>
      </c>
    </row>
    <row r="468" spans="1:13" s="714" customFormat="1" ht="12.75" x14ac:dyDescent="0.2">
      <c r="B468" s="694"/>
      <c r="C468" s="718"/>
      <c r="D468" s="695"/>
      <c r="E468" s="723"/>
      <c r="F468" s="723">
        <f>'1.15автотранспорт'!AG189</f>
        <v>0.67959999999999998</v>
      </c>
      <c r="G468" s="723">
        <f>'1.15автотранспорт'!AH189</f>
        <v>388.70959999999991</v>
      </c>
      <c r="H468" s="723">
        <f>'1.15автотранспорт'!AG394</f>
        <v>1.0195000000000001</v>
      </c>
      <c r="I468" s="723">
        <f>'1.15автотранспорт'!AH394</f>
        <v>1020.446</v>
      </c>
      <c r="J468" s="723">
        <f>'1.15автотранспорт'!AG593</f>
        <v>1.0195000000000001</v>
      </c>
      <c r="K468" s="723">
        <f>'1.15автотранспорт'!AH593</f>
        <v>677.87929999999994</v>
      </c>
      <c r="L468" s="723">
        <f>'1.15автотранспорт'!AG744</f>
        <v>1.0195000000000001</v>
      </c>
      <c r="M468" s="723">
        <f>'1.15автотранспорт'!AH744</f>
        <v>56.12080000000001</v>
      </c>
    </row>
    <row r="469" spans="1:13" s="714" customFormat="1" ht="12.75" x14ac:dyDescent="0.2">
      <c r="B469" s="694"/>
      <c r="C469" s="718"/>
      <c r="D469" s="695"/>
      <c r="E469" s="723"/>
      <c r="F469" s="723">
        <f t="shared" ref="F469:L469" si="38">F467-F468</f>
        <v>0</v>
      </c>
      <c r="G469" s="723">
        <f t="shared" si="38"/>
        <v>0</v>
      </c>
      <c r="H469" s="723">
        <f t="shared" si="38"/>
        <v>0</v>
      </c>
      <c r="I469" s="723">
        <f t="shared" si="38"/>
        <v>0</v>
      </c>
      <c r="J469" s="723">
        <f t="shared" si="38"/>
        <v>0</v>
      </c>
      <c r="K469" s="723">
        <f t="shared" ref="K469" si="39">K467-K468</f>
        <v>0</v>
      </c>
      <c r="L469" s="723">
        <f t="shared" si="38"/>
        <v>0</v>
      </c>
      <c r="M469" s="723">
        <f t="shared" ref="M469" si="40">M467-M468</f>
        <v>0</v>
      </c>
    </row>
    <row r="471" spans="1:13" s="697" customFormat="1" ht="21" customHeight="1" x14ac:dyDescent="0.3">
      <c r="B471" s="699"/>
      <c r="C471" s="612"/>
      <c r="D471" s="1700" t="s">
        <v>1225</v>
      </c>
      <c r="E471" s="1700"/>
      <c r="F471" s="1700"/>
      <c r="G471" s="1700"/>
      <c r="H471" s="1700"/>
      <c r="I471" s="1700"/>
      <c r="J471" s="1700"/>
      <c r="K471" s="1700"/>
      <c r="L471" s="1700"/>
      <c r="M471" s="613"/>
    </row>
    <row r="472" spans="1:13" s="70" customFormat="1" ht="20.100000000000001" customHeight="1" x14ac:dyDescent="0.25">
      <c r="B472" s="232"/>
      <c r="C472" s="693"/>
      <c r="E472" s="69"/>
      <c r="F472" s="1701" t="s">
        <v>905</v>
      </c>
      <c r="G472" s="1701"/>
      <c r="H472" s="1701" t="s">
        <v>905</v>
      </c>
      <c r="I472" s="1701"/>
      <c r="J472" s="1701" t="s">
        <v>905</v>
      </c>
      <c r="K472" s="1701"/>
      <c r="L472" s="1701" t="s">
        <v>905</v>
      </c>
      <c r="M472" s="1701"/>
    </row>
    <row r="473" spans="1:13" s="104" customFormat="1" ht="15.75" customHeight="1" x14ac:dyDescent="0.25">
      <c r="B473" s="232"/>
      <c r="C473" s="335"/>
      <c r="D473" s="1697" t="s">
        <v>3</v>
      </c>
      <c r="E473" s="1697" t="s">
        <v>903</v>
      </c>
      <c r="F473" s="1699" t="s">
        <v>5</v>
      </c>
      <c r="G473" s="1699"/>
      <c r="H473" s="1699" t="s">
        <v>11</v>
      </c>
      <c r="I473" s="1699"/>
      <c r="J473" s="1699" t="s">
        <v>60</v>
      </c>
      <c r="K473" s="1699"/>
      <c r="L473" s="1693" t="s">
        <v>63</v>
      </c>
      <c r="M473" s="1694"/>
    </row>
    <row r="474" spans="1:13" s="70" customFormat="1" ht="14.25" customHeight="1" x14ac:dyDescent="0.25">
      <c r="B474" s="232"/>
      <c r="C474" s="693"/>
      <c r="D474" s="1698"/>
      <c r="E474" s="1698"/>
      <c r="F474" s="213" t="s">
        <v>46</v>
      </c>
      <c r="G474" s="213" t="s">
        <v>45</v>
      </c>
      <c r="H474" s="213" t="s">
        <v>46</v>
      </c>
      <c r="I474" s="213" t="s">
        <v>45</v>
      </c>
      <c r="J474" s="213" t="s">
        <v>46</v>
      </c>
      <c r="K474" s="213" t="s">
        <v>45</v>
      </c>
      <c r="L474" s="213" t="s">
        <v>46</v>
      </c>
      <c r="M474" s="213" t="s">
        <v>46</v>
      </c>
    </row>
    <row r="475" spans="1:13" s="70" customFormat="1" ht="20.100000000000001" customHeight="1" x14ac:dyDescent="0.25">
      <c r="B475" s="232"/>
      <c r="C475" s="693"/>
      <c r="D475" s="125">
        <v>1</v>
      </c>
      <c r="E475" s="125">
        <v>2</v>
      </c>
      <c r="F475" s="125">
        <v>3</v>
      </c>
      <c r="G475" s="125">
        <v>4</v>
      </c>
      <c r="H475" s="125">
        <v>5</v>
      </c>
      <c r="I475" s="125">
        <v>6</v>
      </c>
      <c r="J475" s="125">
        <v>7</v>
      </c>
      <c r="K475" s="125">
        <v>8</v>
      </c>
      <c r="L475" s="125">
        <v>9</v>
      </c>
      <c r="M475" s="125">
        <v>9</v>
      </c>
    </row>
    <row r="476" spans="1:13" s="706" customFormat="1" ht="20.100000000000001" customHeight="1" x14ac:dyDescent="0.25">
      <c r="B476" s="705"/>
      <c r="C476" s="720"/>
      <c r="D476" s="1090" t="s">
        <v>149</v>
      </c>
      <c r="E476" s="1091" t="s">
        <v>150</v>
      </c>
      <c r="F476" s="1092">
        <f t="shared" ref="F476:K477" si="41">F424</f>
        <v>0.57464000000000004</v>
      </c>
      <c r="G476" s="1092">
        <f t="shared" si="41"/>
        <v>1.0019899999999999</v>
      </c>
      <c r="H476" s="1092">
        <f t="shared" si="41"/>
        <v>0.84690999999999994</v>
      </c>
      <c r="I476" s="1092">
        <f t="shared" si="41"/>
        <v>2.2033199999999997</v>
      </c>
      <c r="J476" s="1092">
        <f t="shared" si="41"/>
        <v>1.1976099999999998</v>
      </c>
      <c r="K476" s="1092">
        <f t="shared" si="41"/>
        <v>3.6901199999999998</v>
      </c>
      <c r="L476" s="1092">
        <f t="shared" ref="L476:M476" si="42">L424</f>
        <v>1.17127</v>
      </c>
      <c r="M476" s="1092">
        <f t="shared" si="42"/>
        <v>1.7269019999999999</v>
      </c>
    </row>
    <row r="477" spans="1:13" s="706" customFormat="1" ht="20.100000000000001" customHeight="1" x14ac:dyDescent="0.25">
      <c r="B477" s="705"/>
      <c r="C477" s="720"/>
      <c r="D477" s="1090" t="s">
        <v>145</v>
      </c>
      <c r="E477" s="1091" t="s">
        <v>146</v>
      </c>
      <c r="F477" s="1092">
        <f>F425</f>
        <v>7.5619999999999993E-2</v>
      </c>
      <c r="G477" s="1092">
        <f t="shared" si="41"/>
        <v>8.7382000000000001E-2</v>
      </c>
      <c r="H477" s="1092">
        <f t="shared" si="41"/>
        <v>9.9959999999999993E-2</v>
      </c>
      <c r="I477" s="1092">
        <f t="shared" si="41"/>
        <v>0.19400000000000001</v>
      </c>
      <c r="J477" s="1092">
        <f t="shared" si="41"/>
        <v>0.13003999999999999</v>
      </c>
      <c r="K477" s="1092">
        <f t="shared" si="41"/>
        <v>0.32202999999999998</v>
      </c>
      <c r="L477" s="1092">
        <f t="shared" ref="L477:M477" si="43">L425</f>
        <v>0.12692300000000001</v>
      </c>
      <c r="M477" s="1092">
        <f t="shared" si="43"/>
        <v>0.14998300000000001</v>
      </c>
    </row>
    <row r="478" spans="1:13" s="70" customFormat="1" ht="20.100000000000001" customHeight="1" x14ac:dyDescent="0.25">
      <c r="B478" s="232"/>
      <c r="C478" s="693"/>
      <c r="D478" s="1090" t="s">
        <v>1258</v>
      </c>
      <c r="E478" s="1091" t="s">
        <v>1249</v>
      </c>
      <c r="F478" s="1092">
        <f>F426</f>
        <v>0.10151</v>
      </c>
      <c r="G478" s="1092">
        <f t="shared" ref="G478:M479" si="44">G426</f>
        <v>3.7099999999999998E-3</v>
      </c>
      <c r="H478" s="1092">
        <f t="shared" si="44"/>
        <v>9.5009999999999997E-2</v>
      </c>
      <c r="I478" s="1092">
        <f t="shared" si="44"/>
        <v>1.1170000000000001E-2</v>
      </c>
      <c r="J478" s="1092">
        <f t="shared" si="44"/>
        <v>9.5009999999999997E-2</v>
      </c>
      <c r="K478" s="1092">
        <f t="shared" si="44"/>
        <v>1.1170000000000001E-2</v>
      </c>
      <c r="L478" s="1092">
        <f t="shared" si="44"/>
        <v>0.10151</v>
      </c>
      <c r="M478" s="1092">
        <f t="shared" si="44"/>
        <v>3.7099999999999998E-3</v>
      </c>
    </row>
    <row r="479" spans="1:13" s="70" customFormat="1" ht="20.100000000000001" customHeight="1" x14ac:dyDescent="0.25">
      <c r="B479" s="232"/>
      <c r="C479" s="693"/>
      <c r="D479" s="1090" t="s">
        <v>1244</v>
      </c>
      <c r="E479" s="1091" t="s">
        <v>1245</v>
      </c>
      <c r="F479" s="1092">
        <f>F427</f>
        <v>9.7900000000000001E-3</v>
      </c>
      <c r="G479" s="1092">
        <f t="shared" si="44"/>
        <v>4.2999999999999994E-4</v>
      </c>
      <c r="H479" s="1092">
        <f t="shared" si="44"/>
        <v>9.2800000000000001E-3</v>
      </c>
      <c r="I479" s="1092">
        <f t="shared" si="44"/>
        <v>1.33E-3</v>
      </c>
      <c r="J479" s="1092">
        <f t="shared" si="44"/>
        <v>9.2800000000000001E-3</v>
      </c>
      <c r="K479" s="1092">
        <f t="shared" si="44"/>
        <v>1.33E-3</v>
      </c>
      <c r="L479" s="1092">
        <f t="shared" si="44"/>
        <v>9.7900000000000001E-3</v>
      </c>
      <c r="M479" s="1092">
        <f t="shared" si="44"/>
        <v>4.2999999999999994E-4</v>
      </c>
    </row>
    <row r="480" spans="1:13" s="706" customFormat="1" ht="20.25" customHeight="1" x14ac:dyDescent="0.25">
      <c r="B480" s="705"/>
      <c r="C480" s="720"/>
      <c r="D480" s="1090" t="s">
        <v>143</v>
      </c>
      <c r="E480" s="1091" t="s">
        <v>144</v>
      </c>
      <c r="F480" s="1092">
        <f>F428+F461</f>
        <v>1.2571199999999998</v>
      </c>
      <c r="G480" s="1092">
        <f t="shared" ref="F480:K481" si="45">G428+G461</f>
        <v>164.62579999999997</v>
      </c>
      <c r="H480" s="1092">
        <f t="shared" si="45"/>
        <v>0.95982999999999996</v>
      </c>
      <c r="I480" s="1092">
        <f t="shared" si="45"/>
        <v>425.92558000000008</v>
      </c>
      <c r="J480" s="1092">
        <f t="shared" si="45"/>
        <v>0.64859</v>
      </c>
      <c r="K480" s="1092">
        <f t="shared" si="45"/>
        <v>282.7017800000001</v>
      </c>
      <c r="L480" s="1092">
        <f t="shared" ref="L480:M480" si="46">L428+L461</f>
        <v>1.004624</v>
      </c>
      <c r="M480" s="1092">
        <f t="shared" si="46"/>
        <v>22.305702000000004</v>
      </c>
    </row>
    <row r="481" spans="2:13" s="70" customFormat="1" ht="20.100000000000001" customHeight="1" x14ac:dyDescent="0.25">
      <c r="B481" s="232"/>
      <c r="C481" s="693"/>
      <c r="D481" s="702" t="s">
        <v>166</v>
      </c>
      <c r="E481" s="703" t="s">
        <v>167</v>
      </c>
      <c r="F481" s="125">
        <f t="shared" si="45"/>
        <v>0.1938</v>
      </c>
      <c r="G481" s="125">
        <f t="shared" si="45"/>
        <v>26.729099999999999</v>
      </c>
      <c r="H481" s="125">
        <f t="shared" si="45"/>
        <v>0.13919999999999999</v>
      </c>
      <c r="I481" s="125">
        <f t="shared" si="45"/>
        <v>69.163300000000007</v>
      </c>
      <c r="J481" s="125">
        <f t="shared" si="45"/>
        <v>8.0600000000000005E-2</v>
      </c>
      <c r="K481" s="125">
        <f t="shared" si="45"/>
        <v>45.855599999999995</v>
      </c>
      <c r="L481" s="125">
        <f t="shared" ref="L481:M481" si="47">L429+L462</f>
        <v>0.13919999999999999</v>
      </c>
      <c r="M481" s="125">
        <f t="shared" si="47"/>
        <v>3.5854000000000013</v>
      </c>
    </row>
    <row r="482" spans="2:13" s="706" customFormat="1" ht="20.100000000000001" customHeight="1" x14ac:dyDescent="0.25">
      <c r="B482" s="705"/>
      <c r="C482" s="720"/>
      <c r="D482" s="1093" t="s">
        <v>1246</v>
      </c>
      <c r="E482" s="1094" t="s">
        <v>1247</v>
      </c>
      <c r="F482" s="1092">
        <f>F430</f>
        <v>2.14E-3</v>
      </c>
      <c r="G482" s="1092">
        <f t="shared" ref="G482:M482" si="48">G430</f>
        <v>1.6000000000000001E-4</v>
      </c>
      <c r="H482" s="1092">
        <f t="shared" si="48"/>
        <v>2.14E-3</v>
      </c>
      <c r="I482" s="1092">
        <f t="shared" si="48"/>
        <v>5.1999999999999995E-4</v>
      </c>
      <c r="J482" s="1092">
        <f t="shared" si="48"/>
        <v>2.14E-3</v>
      </c>
      <c r="K482" s="1092">
        <f t="shared" si="48"/>
        <v>5.1999999999999995E-4</v>
      </c>
      <c r="L482" s="1092">
        <f t="shared" si="48"/>
        <v>2.14E-3</v>
      </c>
      <c r="M482" s="1092">
        <f t="shared" si="48"/>
        <v>1.6000000000000001E-4</v>
      </c>
    </row>
    <row r="483" spans="2:13" s="70" customFormat="1" ht="20.100000000000001" customHeight="1" x14ac:dyDescent="0.25">
      <c r="B483" s="232"/>
      <c r="C483" s="693"/>
      <c r="D483" s="702" t="s">
        <v>550</v>
      </c>
      <c r="E483" s="703" t="s">
        <v>173</v>
      </c>
      <c r="F483" s="125">
        <f t="shared" ref="F483:K483" si="49">F431+F465</f>
        <v>0.11230000000000001</v>
      </c>
      <c r="G483" s="125">
        <f t="shared" si="49"/>
        <v>25.905899999999985</v>
      </c>
      <c r="H483" s="125">
        <f t="shared" si="49"/>
        <v>0.10469999999999999</v>
      </c>
      <c r="I483" s="125">
        <f t="shared" si="49"/>
        <v>71.827099999999987</v>
      </c>
      <c r="J483" s="125">
        <f t="shared" si="49"/>
        <v>8.1199999999999994E-2</v>
      </c>
      <c r="K483" s="125">
        <f t="shared" si="49"/>
        <v>47.618599999999972</v>
      </c>
      <c r="L483" s="125">
        <f t="shared" ref="L483:M483" si="50">L431+L465</f>
        <v>0.10469999999999999</v>
      </c>
      <c r="M483" s="125">
        <f t="shared" si="50"/>
        <v>4.4401000000000002</v>
      </c>
    </row>
    <row r="484" spans="2:13" s="70" customFormat="1" ht="20.100000000000001" customHeight="1" x14ac:dyDescent="0.25">
      <c r="B484" s="232"/>
      <c r="C484" s="693"/>
      <c r="D484" s="702" t="s">
        <v>547</v>
      </c>
      <c r="E484" s="703" t="s">
        <v>169</v>
      </c>
      <c r="F484" s="125">
        <f t="shared" ref="F484:K484" si="51">F432+F463</f>
        <v>0.17159999999999997</v>
      </c>
      <c r="G484" s="125">
        <f t="shared" si="51"/>
        <v>21.436799999999991</v>
      </c>
      <c r="H484" s="125">
        <f t="shared" si="51"/>
        <v>0.1152</v>
      </c>
      <c r="I484" s="125">
        <f t="shared" si="51"/>
        <v>51.500999999999983</v>
      </c>
      <c r="J484" s="125">
        <f t="shared" si="51"/>
        <v>5.8900000000000001E-2</v>
      </c>
      <c r="K484" s="125">
        <f t="shared" si="51"/>
        <v>34.114999999999995</v>
      </c>
      <c r="L484" s="125">
        <f t="shared" ref="L484:M484" si="52">L432+L463</f>
        <v>0.1152</v>
      </c>
      <c r="M484" s="125">
        <f t="shared" si="52"/>
        <v>2.9705000000000004</v>
      </c>
    </row>
    <row r="485" spans="2:13" s="70" customFormat="1" ht="20.100000000000001" customHeight="1" x14ac:dyDescent="0.25">
      <c r="B485" s="232"/>
      <c r="C485" s="693"/>
      <c r="D485" s="138" t="s">
        <v>185</v>
      </c>
      <c r="E485" s="678" t="s">
        <v>186</v>
      </c>
      <c r="F485" s="125">
        <f t="shared" ref="F485:K485" si="53">F433</f>
        <v>2.6000000000000003E-4</v>
      </c>
      <c r="G485" s="125">
        <f t="shared" si="53"/>
        <v>5.1E-5</v>
      </c>
      <c r="H485" s="125">
        <f t="shared" si="53"/>
        <v>3.0000000000000003E-4</v>
      </c>
      <c r="I485" s="125">
        <f t="shared" si="53"/>
        <v>7.7999999999999985E-5</v>
      </c>
      <c r="J485" s="125">
        <f t="shared" si="53"/>
        <v>3.2000000000000003E-4</v>
      </c>
      <c r="K485" s="125">
        <f t="shared" si="53"/>
        <v>4.1499999999999999E-5</v>
      </c>
      <c r="L485" s="125">
        <f t="shared" ref="L485:M485" si="54">L433</f>
        <v>1.4000000000000001E-4</v>
      </c>
      <c r="M485" s="125">
        <f t="shared" si="54"/>
        <v>9.9999999999999991E-6</v>
      </c>
    </row>
    <row r="486" spans="2:13" s="70" customFormat="1" ht="20.100000000000001" customHeight="1" x14ac:dyDescent="0.25">
      <c r="B486" s="232"/>
      <c r="C486" s="693"/>
      <c r="D486" s="651" t="s">
        <v>152</v>
      </c>
      <c r="E486" s="233" t="s">
        <v>153</v>
      </c>
      <c r="F486" s="125">
        <f t="shared" ref="F486:K486" si="55">F434+F466</f>
        <v>1.4299591999999999</v>
      </c>
      <c r="G486" s="125">
        <f t="shared" si="55"/>
        <v>114.34966307000002</v>
      </c>
      <c r="H486" s="125">
        <f t="shared" si="55"/>
        <v>1.5027330000000001</v>
      </c>
      <c r="I486" s="749">
        <f t="shared" si="55"/>
        <v>304.49256790999993</v>
      </c>
      <c r="J486" s="125">
        <f t="shared" si="55"/>
        <v>1.64771472</v>
      </c>
      <c r="K486" s="125">
        <f t="shared" si="55"/>
        <v>205.8793356999999</v>
      </c>
      <c r="L486" s="125">
        <f t="shared" ref="L486:M486" si="56">L434+L466</f>
        <v>1.9140912300000001</v>
      </c>
      <c r="M486" s="125">
        <f t="shared" si="56"/>
        <v>19.667166520000006</v>
      </c>
    </row>
    <row r="487" spans="2:13" s="70" customFormat="1" ht="20.100000000000001" customHeight="1" x14ac:dyDescent="0.25">
      <c r="B487" s="232"/>
      <c r="C487" s="693"/>
      <c r="D487" s="651" t="s">
        <v>140</v>
      </c>
      <c r="E487" s="233" t="s">
        <v>141</v>
      </c>
      <c r="F487" s="125">
        <f t="shared" ref="F487:K490" si="57">F435</f>
        <v>2.23E-2</v>
      </c>
      <c r="G487" s="125">
        <f t="shared" si="57"/>
        <v>6.9499999999999992E-2</v>
      </c>
      <c r="H487" s="125">
        <f t="shared" si="57"/>
        <v>4.0749999999999995E-2</v>
      </c>
      <c r="I487" s="125">
        <f t="shared" si="57"/>
        <v>0.15207000000000004</v>
      </c>
      <c r="J487" s="125">
        <f t="shared" si="57"/>
        <v>6.5289999999999987E-2</v>
      </c>
      <c r="K487" s="125">
        <f t="shared" si="57"/>
        <v>0.25643000000000005</v>
      </c>
      <c r="L487" s="125">
        <f t="shared" ref="L487:M487" si="58">L435</f>
        <v>6.4102000000000006E-2</v>
      </c>
      <c r="M487" s="125">
        <f t="shared" si="58"/>
        <v>0.120501</v>
      </c>
    </row>
    <row r="488" spans="2:13" s="70" customFormat="1" ht="20.100000000000001" customHeight="1" x14ac:dyDescent="0.25">
      <c r="B488" s="232"/>
      <c r="C488" s="693"/>
      <c r="D488" s="651" t="s">
        <v>147</v>
      </c>
      <c r="E488" s="233" t="s">
        <v>148</v>
      </c>
      <c r="F488" s="125">
        <f t="shared" si="57"/>
        <v>9.7799999999999984E-2</v>
      </c>
      <c r="G488" s="125">
        <f t="shared" si="57"/>
        <v>0.30610000000000004</v>
      </c>
      <c r="H488" s="125">
        <f t="shared" si="57"/>
        <v>0.17950000000000002</v>
      </c>
      <c r="I488" s="125">
        <f t="shared" si="57"/>
        <v>0.66930000000000001</v>
      </c>
      <c r="J488" s="125">
        <f t="shared" si="57"/>
        <v>0.28750000000000003</v>
      </c>
      <c r="K488" s="125">
        <f t="shared" si="57"/>
        <v>1.1280999999999999</v>
      </c>
      <c r="L488" s="125">
        <f t="shared" ref="L488:M488" si="59">L436</f>
        <v>0.28211000000000003</v>
      </c>
      <c r="M488" s="125">
        <f t="shared" si="59"/>
        <v>0.52990399999999993</v>
      </c>
    </row>
    <row r="489" spans="2:13" s="70" customFormat="1" ht="20.100000000000001" customHeight="1" x14ac:dyDescent="0.25">
      <c r="B489" s="232"/>
      <c r="C489" s="693"/>
      <c r="D489" s="651" t="s">
        <v>103</v>
      </c>
      <c r="E489" s="233" t="s">
        <v>104</v>
      </c>
      <c r="F489" s="125">
        <f t="shared" si="57"/>
        <v>0.2989</v>
      </c>
      <c r="G489" s="125">
        <f t="shared" si="57"/>
        <v>0.33231999999999995</v>
      </c>
      <c r="H489" s="125">
        <f t="shared" si="57"/>
        <v>0.99519999999999997</v>
      </c>
      <c r="I489" s="125">
        <f t="shared" si="57"/>
        <v>1.44726</v>
      </c>
      <c r="J489" s="125">
        <f t="shared" si="57"/>
        <v>1.1314</v>
      </c>
      <c r="K489" s="125">
        <f t="shared" si="57"/>
        <v>1.8004250000000002</v>
      </c>
      <c r="L489" s="125">
        <f t="shared" ref="L489:M489" si="60">L437</f>
        <v>0.36529999999999996</v>
      </c>
      <c r="M489" s="125">
        <f t="shared" si="60"/>
        <v>1.0050299999999999</v>
      </c>
    </row>
    <row r="490" spans="2:13" s="70" customFormat="1" ht="20.100000000000001" customHeight="1" x14ac:dyDescent="0.25">
      <c r="B490" s="232"/>
      <c r="C490" s="693"/>
      <c r="D490" s="651" t="s">
        <v>117</v>
      </c>
      <c r="E490" s="233" t="s">
        <v>118</v>
      </c>
      <c r="F490" s="125">
        <f t="shared" si="57"/>
        <v>8.5099999999999995E-2</v>
      </c>
      <c r="G490" s="125">
        <f t="shared" si="57"/>
        <v>0.1482</v>
      </c>
      <c r="H490" s="125">
        <f t="shared" si="57"/>
        <v>0.16399999999999998</v>
      </c>
      <c r="I490" s="125">
        <f t="shared" si="57"/>
        <v>0.11080999999999999</v>
      </c>
      <c r="J490" s="125">
        <f t="shared" si="57"/>
        <v>0.59000000000000008</v>
      </c>
      <c r="K490" s="125">
        <f t="shared" si="57"/>
        <v>1.6383999999999999</v>
      </c>
      <c r="L490" s="125">
        <f t="shared" ref="L490:M490" si="61">L438</f>
        <v>4.5699999999999998E-2</v>
      </c>
      <c r="M490" s="125">
        <f t="shared" si="61"/>
        <v>1.9199999999999998E-2</v>
      </c>
    </row>
    <row r="491" spans="2:13" s="70" customFormat="1" ht="20.100000000000001" customHeight="1" x14ac:dyDescent="0.25">
      <c r="B491" s="232"/>
      <c r="C491" s="693"/>
      <c r="D491" s="651" t="s">
        <v>1152</v>
      </c>
      <c r="E491" s="233" t="s">
        <v>1153</v>
      </c>
      <c r="F491" s="125">
        <f t="shared" ref="F491:F500" si="62">F439</f>
        <v>1.4999999999999998E-6</v>
      </c>
      <c r="G491" s="125">
        <f t="shared" ref="G491:K491" si="63">G439</f>
        <v>5.9000000000000007E-7</v>
      </c>
      <c r="H491" s="125">
        <f t="shared" si="63"/>
        <v>7.9999999999999996E-7</v>
      </c>
      <c r="I491" s="125">
        <f t="shared" si="63"/>
        <v>1.4999999999999999E-7</v>
      </c>
      <c r="J491" s="125">
        <f t="shared" si="63"/>
        <v>1.9999999999999999E-7</v>
      </c>
      <c r="K491" s="125">
        <f t="shared" si="63"/>
        <v>9.9999999999999995E-8</v>
      </c>
      <c r="L491" s="125">
        <f t="shared" ref="L491:M491" si="64">L439</f>
        <v>7.9999999999999996E-7</v>
      </c>
      <c r="M491" s="125">
        <f t="shared" si="64"/>
        <v>1.9999999999999999E-7</v>
      </c>
    </row>
    <row r="492" spans="2:13" s="70" customFormat="1" ht="20.100000000000001" customHeight="1" x14ac:dyDescent="0.25">
      <c r="B492" s="232"/>
      <c r="C492" s="693"/>
      <c r="D492" s="704" t="s">
        <v>158</v>
      </c>
      <c r="E492" s="233" t="s">
        <v>159</v>
      </c>
      <c r="F492" s="125">
        <f t="shared" si="62"/>
        <v>3.9600000000000002E-6</v>
      </c>
      <c r="G492" s="125">
        <f t="shared" ref="G492:K500" si="65">G440</f>
        <v>5.6599999999999992E-6</v>
      </c>
      <c r="H492" s="125">
        <f t="shared" si="65"/>
        <v>1.446E-5</v>
      </c>
      <c r="I492" s="125">
        <f t="shared" si="65"/>
        <v>2.0769999999999999E-5</v>
      </c>
      <c r="J492" s="125">
        <f t="shared" si="65"/>
        <v>6.1E-6</v>
      </c>
      <c r="K492" s="125">
        <f t="shared" si="65"/>
        <v>6.5599999999999999E-6</v>
      </c>
      <c r="L492" s="125">
        <f t="shared" ref="L492:M492" si="66">L440</f>
        <v>5.9000000000000007E-7</v>
      </c>
      <c r="M492" s="125">
        <f t="shared" si="66"/>
        <v>6.6999999999999994E-7</v>
      </c>
    </row>
    <row r="493" spans="2:13" s="70" customFormat="1" ht="20.100000000000001" customHeight="1" x14ac:dyDescent="0.25">
      <c r="B493" s="232"/>
      <c r="C493" s="693"/>
      <c r="D493" s="704" t="s">
        <v>111</v>
      </c>
      <c r="E493" s="233" t="s">
        <v>112</v>
      </c>
      <c r="F493" s="125">
        <f t="shared" si="62"/>
        <v>0.10289999999999999</v>
      </c>
      <c r="G493" s="125">
        <f t="shared" si="65"/>
        <v>5.1360000000000003E-2</v>
      </c>
      <c r="H493" s="125">
        <f t="shared" si="65"/>
        <v>0.28350000000000003</v>
      </c>
      <c r="I493" s="125">
        <f t="shared" si="65"/>
        <v>4.5670000000000002E-2</v>
      </c>
      <c r="J493" s="125">
        <f t="shared" si="65"/>
        <v>0.72100000000000009</v>
      </c>
      <c r="K493" s="125">
        <f t="shared" si="65"/>
        <v>0.78673999999999999</v>
      </c>
      <c r="L493" s="125">
        <f t="shared" ref="L493:M493" si="67">L441</f>
        <v>4.3E-3</v>
      </c>
      <c r="M493" s="125">
        <f t="shared" si="67"/>
        <v>1.7799999999999999E-3</v>
      </c>
    </row>
    <row r="494" spans="2:13" s="70" customFormat="1" ht="20.100000000000001" customHeight="1" x14ac:dyDescent="0.25">
      <c r="B494" s="232"/>
      <c r="C494" s="693"/>
      <c r="D494" s="704" t="s">
        <v>274</v>
      </c>
      <c r="E494" s="233" t="s">
        <v>275</v>
      </c>
      <c r="F494" s="125">
        <f t="shared" si="62"/>
        <v>1.9699999999999999E-2</v>
      </c>
      <c r="G494" s="125">
        <f t="shared" si="65"/>
        <v>2.07E-2</v>
      </c>
      <c r="H494" s="125">
        <f t="shared" si="65"/>
        <v>5.5800000000000002E-2</v>
      </c>
      <c r="I494" s="125">
        <f t="shared" si="65"/>
        <v>1.9400000000000001E-2</v>
      </c>
      <c r="J494" s="125">
        <f t="shared" si="65"/>
        <v>0.14330000000000001</v>
      </c>
      <c r="K494" s="125">
        <f t="shared" si="65"/>
        <v>0.34899999999999998</v>
      </c>
      <c r="L494" s="125">
        <f t="shared" ref="L494:M494" si="68">L442</f>
        <v>0</v>
      </c>
      <c r="M494" s="125">
        <f t="shared" si="68"/>
        <v>0</v>
      </c>
    </row>
    <row r="495" spans="2:13" s="70" customFormat="1" ht="20.100000000000001" customHeight="1" x14ac:dyDescent="0.25">
      <c r="B495" s="232"/>
      <c r="C495" s="693"/>
      <c r="D495" s="704" t="s">
        <v>415</v>
      </c>
      <c r="E495" s="233" t="s">
        <v>416</v>
      </c>
      <c r="F495" s="125">
        <f t="shared" si="62"/>
        <v>0</v>
      </c>
      <c r="G495" s="125">
        <f t="shared" si="65"/>
        <v>0</v>
      </c>
      <c r="H495" s="125">
        <f t="shared" si="65"/>
        <v>3.49E-2</v>
      </c>
      <c r="I495" s="125">
        <f t="shared" si="65"/>
        <v>9.8999999999999991E-3</v>
      </c>
      <c r="J495" s="125">
        <f t="shared" si="65"/>
        <v>6.4000000000000003E-3</v>
      </c>
      <c r="K495" s="125">
        <f t="shared" si="65"/>
        <v>1.31E-3</v>
      </c>
      <c r="L495" s="125">
        <f t="shared" ref="L495:M495" si="69">L443</f>
        <v>0</v>
      </c>
      <c r="M495" s="125">
        <f t="shared" si="69"/>
        <v>0</v>
      </c>
    </row>
    <row r="496" spans="2:13" s="70" customFormat="1" ht="20.100000000000001" customHeight="1" x14ac:dyDescent="0.25">
      <c r="B496" s="232"/>
      <c r="C496" s="693"/>
      <c r="D496" s="704" t="s">
        <v>115</v>
      </c>
      <c r="E496" s="233" t="s">
        <v>116</v>
      </c>
      <c r="F496" s="125">
        <f t="shared" si="62"/>
        <v>0.14410000000000001</v>
      </c>
      <c r="G496" s="125">
        <f t="shared" si="65"/>
        <v>0.24309999999999998</v>
      </c>
      <c r="H496" s="125">
        <f t="shared" si="65"/>
        <v>0.49919999999999998</v>
      </c>
      <c r="I496" s="125">
        <f t="shared" si="65"/>
        <v>0.48914000000000002</v>
      </c>
      <c r="J496" s="125">
        <f t="shared" si="65"/>
        <v>0.85260000000000002</v>
      </c>
      <c r="K496" s="125">
        <f t="shared" si="65"/>
        <v>2.6990999999999996</v>
      </c>
      <c r="L496" s="125">
        <f t="shared" ref="L496:M496" si="70">L444</f>
        <v>3.5099999999999999E-2</v>
      </c>
      <c r="M496" s="125">
        <f t="shared" si="70"/>
        <v>1.6199999999999999E-2</v>
      </c>
    </row>
    <row r="497" spans="2:13" s="70" customFormat="1" ht="20.100000000000001" customHeight="1" x14ac:dyDescent="0.25">
      <c r="B497" s="232"/>
      <c r="C497" s="693"/>
      <c r="D497" s="704" t="s">
        <v>120</v>
      </c>
      <c r="E497" s="233" t="s">
        <v>121</v>
      </c>
      <c r="F497" s="125">
        <f t="shared" si="62"/>
        <v>1.7000000000000001E-2</v>
      </c>
      <c r="G497" s="125">
        <f t="shared" si="65"/>
        <v>3.9800000000000002E-2</v>
      </c>
      <c r="H497" s="125">
        <f t="shared" si="65"/>
        <v>1.7000000000000001E-2</v>
      </c>
      <c r="I497" s="125">
        <f t="shared" si="65"/>
        <v>2.6499999999999999E-2</v>
      </c>
      <c r="J497" s="125">
        <f t="shared" si="65"/>
        <v>0.1462</v>
      </c>
      <c r="K497" s="125">
        <f t="shared" si="65"/>
        <v>0.35009999999999997</v>
      </c>
      <c r="L497" s="125">
        <f t="shared" ref="L497:M497" si="71">L445</f>
        <v>1.7000000000000001E-2</v>
      </c>
      <c r="M497" s="125">
        <f t="shared" si="71"/>
        <v>7.1000000000000004E-3</v>
      </c>
    </row>
    <row r="498" spans="2:13" s="70" customFormat="1" ht="20.100000000000001" customHeight="1" x14ac:dyDescent="0.25">
      <c r="B498" s="232"/>
      <c r="C498" s="693"/>
      <c r="D498" s="138" t="s">
        <v>170</v>
      </c>
      <c r="E498" s="233" t="s">
        <v>171</v>
      </c>
      <c r="F498" s="125">
        <f t="shared" si="62"/>
        <v>1.52E-2</v>
      </c>
      <c r="G498" s="125">
        <f t="shared" si="65"/>
        <v>5.5300000000000002E-3</v>
      </c>
      <c r="H498" s="125">
        <f t="shared" si="65"/>
        <v>7.7000000000000002E-3</v>
      </c>
      <c r="I498" s="125">
        <f t="shared" si="65"/>
        <v>1.1800000000000001E-3</v>
      </c>
      <c r="J498" s="125">
        <f t="shared" si="65"/>
        <v>2.0999999999999999E-3</v>
      </c>
      <c r="K498" s="125">
        <f t="shared" si="65"/>
        <v>8.7000000000000001E-4</v>
      </c>
      <c r="L498" s="125">
        <f t="shared" ref="L498:M498" si="72">L446</f>
        <v>7.7000000000000002E-3</v>
      </c>
      <c r="M498" s="125">
        <f t="shared" si="72"/>
        <v>1.17E-3</v>
      </c>
    </row>
    <row r="499" spans="2:13" s="70" customFormat="1" ht="20.100000000000001" customHeight="1" x14ac:dyDescent="0.25">
      <c r="B499" s="232"/>
      <c r="C499" s="693"/>
      <c r="D499" s="138" t="s">
        <v>113</v>
      </c>
      <c r="E499" s="233" t="s">
        <v>114</v>
      </c>
      <c r="F499" s="125">
        <f t="shared" si="62"/>
        <v>4.3E-3</v>
      </c>
      <c r="G499" s="125">
        <f t="shared" si="65"/>
        <v>9.9000000000000008E-3</v>
      </c>
      <c r="H499" s="125">
        <f t="shared" si="65"/>
        <v>4.1299999999999996E-2</v>
      </c>
      <c r="I499" s="125">
        <f t="shared" si="65"/>
        <v>1.6800000000000002E-2</v>
      </c>
      <c r="J499" s="125">
        <f t="shared" si="65"/>
        <v>4.3000000000000003E-2</v>
      </c>
      <c r="K499" s="125">
        <f t="shared" si="65"/>
        <v>9.1010999999999981E-2</v>
      </c>
      <c r="L499" s="125">
        <f t="shared" ref="L499:M499" si="73">L447</f>
        <v>4.3E-3</v>
      </c>
      <c r="M499" s="125">
        <f t="shared" si="73"/>
        <v>1.8E-3</v>
      </c>
    </row>
    <row r="500" spans="2:13" s="70" customFormat="1" ht="20.100000000000001" customHeight="1" x14ac:dyDescent="0.25">
      <c r="B500" s="232"/>
      <c r="C500" s="693"/>
      <c r="D500" s="138" t="s">
        <v>271</v>
      </c>
      <c r="E500" s="233" t="s">
        <v>272</v>
      </c>
      <c r="F500" s="125">
        <f t="shared" si="62"/>
        <v>0</v>
      </c>
      <c r="G500" s="125">
        <f t="shared" si="65"/>
        <v>0</v>
      </c>
      <c r="H500" s="125">
        <f t="shared" si="65"/>
        <v>2.8E-3</v>
      </c>
      <c r="I500" s="125">
        <f t="shared" si="65"/>
        <v>1.7000000000000001E-4</v>
      </c>
      <c r="J500" s="125">
        <f t="shared" si="65"/>
        <v>0</v>
      </c>
      <c r="K500" s="125">
        <f t="shared" si="65"/>
        <v>0</v>
      </c>
      <c r="L500" s="125">
        <f t="shared" ref="L500:M500" si="74">L448</f>
        <v>0</v>
      </c>
      <c r="M500" s="125">
        <f t="shared" si="74"/>
        <v>0</v>
      </c>
    </row>
    <row r="501" spans="2:13" s="70" customFormat="1" ht="20.100000000000001" customHeight="1" x14ac:dyDescent="0.25">
      <c r="B501" s="232"/>
      <c r="C501" s="693"/>
      <c r="D501" s="138" t="s">
        <v>548</v>
      </c>
      <c r="E501" s="233" t="s">
        <v>549</v>
      </c>
      <c r="F501" s="125">
        <f t="shared" ref="F501:K501" si="75">F464</f>
        <v>6.6299999999999998E-2</v>
      </c>
      <c r="G501" s="125">
        <f t="shared" si="75"/>
        <v>37.80019999999999</v>
      </c>
      <c r="H501" s="125">
        <f t="shared" si="75"/>
        <v>9.9500000000000005E-2</v>
      </c>
      <c r="I501" s="125">
        <f t="shared" si="75"/>
        <v>100.69880000000005</v>
      </c>
      <c r="J501" s="125">
        <f t="shared" si="75"/>
        <v>9.9500000000000005E-2</v>
      </c>
      <c r="K501" s="125">
        <f t="shared" si="75"/>
        <v>66.882400000000004</v>
      </c>
      <c r="L501" s="125">
        <f t="shared" ref="L501:M501" si="76">L464</f>
        <v>9.9500000000000005E-2</v>
      </c>
      <c r="M501" s="125">
        <f t="shared" si="76"/>
        <v>5.6858999999999993</v>
      </c>
    </row>
    <row r="502" spans="2:13" s="70" customFormat="1" ht="20.100000000000001" customHeight="1" x14ac:dyDescent="0.25">
      <c r="B502" s="232"/>
      <c r="C502" s="693"/>
      <c r="D502" s="138" t="s">
        <v>108</v>
      </c>
      <c r="E502" s="233" t="s">
        <v>109</v>
      </c>
      <c r="F502" s="125">
        <f t="shared" ref="F502:K505" si="77">F449</f>
        <v>4.5600000000000002E-2</v>
      </c>
      <c r="G502" s="125">
        <f t="shared" si="77"/>
        <v>1.14E-2</v>
      </c>
      <c r="H502" s="125">
        <f t="shared" si="77"/>
        <v>6.8400000000000002E-2</v>
      </c>
      <c r="I502" s="125">
        <f t="shared" si="77"/>
        <v>1.3299999999999999E-2</v>
      </c>
      <c r="J502" s="125">
        <f t="shared" si="77"/>
        <v>0.999</v>
      </c>
      <c r="K502" s="125">
        <f t="shared" si="77"/>
        <v>2.4249299999999998</v>
      </c>
      <c r="L502" s="125">
        <f t="shared" ref="L502:M502" si="78">L449</f>
        <v>0.1003</v>
      </c>
      <c r="M502" s="125">
        <f t="shared" si="78"/>
        <v>7.2099999999999997E-2</v>
      </c>
    </row>
    <row r="503" spans="2:13" s="70" customFormat="1" ht="20.100000000000001" customHeight="1" x14ac:dyDescent="0.25">
      <c r="B503" s="232"/>
      <c r="C503" s="693"/>
      <c r="D503" s="138" t="s">
        <v>106</v>
      </c>
      <c r="E503" s="233" t="s">
        <v>107</v>
      </c>
      <c r="F503" s="125">
        <f t="shared" si="77"/>
        <v>0.1167</v>
      </c>
      <c r="G503" s="125">
        <f t="shared" si="77"/>
        <v>4.2299999999999997E-2</v>
      </c>
      <c r="H503" s="125">
        <f t="shared" si="77"/>
        <v>0.21049999999999999</v>
      </c>
      <c r="I503" s="125">
        <f t="shared" si="77"/>
        <v>6.812E-2</v>
      </c>
      <c r="J503" s="125">
        <f t="shared" si="77"/>
        <v>0.86399999999999999</v>
      </c>
      <c r="K503" s="125">
        <f t="shared" si="77"/>
        <v>0.91500000000000004</v>
      </c>
      <c r="L503" s="125">
        <f t="shared" ref="L503:M503" si="79">L450</f>
        <v>0.18940000000000001</v>
      </c>
      <c r="M503" s="125">
        <f t="shared" si="79"/>
        <v>0.58809999999999996</v>
      </c>
    </row>
    <row r="504" spans="2:13" s="70" customFormat="1" ht="20.100000000000001" customHeight="1" x14ac:dyDescent="0.25">
      <c r="B504" s="232"/>
      <c r="C504" s="693"/>
      <c r="D504" s="138" t="s">
        <v>183</v>
      </c>
      <c r="E504" s="678">
        <v>2754</v>
      </c>
      <c r="F504" s="125">
        <f t="shared" si="77"/>
        <v>1.3012999999999997</v>
      </c>
      <c r="G504" s="125">
        <f t="shared" si="77"/>
        <v>0.56729999999999992</v>
      </c>
      <c r="H504" s="125">
        <f t="shared" si="77"/>
        <v>2.6386999999999996</v>
      </c>
      <c r="I504" s="125">
        <f t="shared" si="77"/>
        <v>4.0375200000000007</v>
      </c>
      <c r="J504" s="125">
        <f t="shared" si="77"/>
        <v>1.3970999999999998</v>
      </c>
      <c r="K504" s="125">
        <f t="shared" si="77"/>
        <v>2.2606100000000002</v>
      </c>
      <c r="L504" s="125">
        <f t="shared" ref="L504:M504" si="80">L451</f>
        <v>1.3965999999999996</v>
      </c>
      <c r="M504" s="125">
        <f t="shared" si="80"/>
        <v>3.3737399999999997</v>
      </c>
    </row>
    <row r="505" spans="2:13" s="706" customFormat="1" ht="20.100000000000001" customHeight="1" x14ac:dyDescent="0.25">
      <c r="B505" s="705"/>
      <c r="C505" s="720"/>
      <c r="D505" s="1095" t="s">
        <v>48</v>
      </c>
      <c r="E505" s="1096" t="s">
        <v>49</v>
      </c>
      <c r="F505" s="1092">
        <f t="shared" si="77"/>
        <v>3.8300399999999999</v>
      </c>
      <c r="G505" s="1092">
        <f t="shared" si="77"/>
        <v>8.1181100000000033</v>
      </c>
      <c r="H505" s="1092">
        <f t="shared" si="77"/>
        <v>3.1032999999999995</v>
      </c>
      <c r="I505" s="1092">
        <f t="shared" si="77"/>
        <v>5.8490860000000007</v>
      </c>
      <c r="J505" s="1092">
        <f t="shared" si="77"/>
        <v>2.87338</v>
      </c>
      <c r="K505" s="1092">
        <f t="shared" si="77"/>
        <v>4.1184319999999994</v>
      </c>
      <c r="L505" s="1092">
        <f t="shared" ref="L505:M505" si="81">L452</f>
        <v>1.1456440000000001</v>
      </c>
      <c r="M505" s="1092">
        <f t="shared" si="81"/>
        <v>1.094212</v>
      </c>
    </row>
    <row r="506" spans="2:13" s="70" customFormat="1" ht="20.100000000000001" customHeight="1" x14ac:dyDescent="0.25">
      <c r="B506" s="232"/>
      <c r="C506" s="693"/>
      <c r="D506" s="1695" t="s">
        <v>906</v>
      </c>
      <c r="E506" s="1696"/>
      <c r="F506" s="213">
        <f t="shared" ref="F506:M506" si="82">SUM(F476:F505)</f>
        <v>10.095984659999997</v>
      </c>
      <c r="G506" s="213">
        <f t="shared" si="82"/>
        <v>401.90681231999997</v>
      </c>
      <c r="H506" s="751">
        <f t="shared" si="82"/>
        <v>12.317328259999996</v>
      </c>
      <c r="I506" s="213">
        <f t="shared" si="82"/>
        <v>1038.9750128300002</v>
      </c>
      <c r="J506" s="213">
        <f t="shared" si="82"/>
        <v>14.173181020000001</v>
      </c>
      <c r="K506" s="213">
        <f t="shared" si="82"/>
        <v>705.89839186000006</v>
      </c>
      <c r="L506" s="213">
        <f t="shared" si="82"/>
        <v>8.44664562</v>
      </c>
      <c r="M506" s="751">
        <f t="shared" si="82"/>
        <v>67.366801390000006</v>
      </c>
    </row>
    <row r="507" spans="2:13" s="70" customFormat="1" x14ac:dyDescent="0.25">
      <c r="B507" s="232"/>
      <c r="C507" s="693"/>
      <c r="D507" s="727"/>
      <c r="E507" s="69"/>
      <c r="F507" s="755">
        <f>F453+F467</f>
        <v>10.095984660000001</v>
      </c>
      <c r="G507" s="755">
        <f t="shared" ref="G507:M507" si="83">G453+G467</f>
        <v>401.90681231999991</v>
      </c>
      <c r="H507" s="755">
        <f t="shared" si="83"/>
        <v>12.317328259999998</v>
      </c>
      <c r="I507" s="755">
        <f t="shared" si="83"/>
        <v>1038.97501283</v>
      </c>
      <c r="J507" s="755">
        <f t="shared" si="83"/>
        <v>14.173181020000001</v>
      </c>
      <c r="K507" s="755">
        <f t="shared" si="83"/>
        <v>705.89839185999995</v>
      </c>
      <c r="L507" s="755">
        <f t="shared" si="83"/>
        <v>8.4466456199999982</v>
      </c>
      <c r="M507" s="755">
        <f t="shared" si="83"/>
        <v>67.366801390000006</v>
      </c>
    </row>
    <row r="508" spans="2:13" s="70" customFormat="1" x14ac:dyDescent="0.25">
      <c r="B508" s="232"/>
      <c r="C508" s="693"/>
      <c r="D508" s="727"/>
      <c r="E508" s="69"/>
      <c r="F508" s="69">
        <f>F506-F507</f>
        <v>0</v>
      </c>
      <c r="G508" s="69">
        <f t="shared" ref="G508:M508" si="84">G506-G507</f>
        <v>0</v>
      </c>
      <c r="H508" s="69">
        <f t="shared" si="84"/>
        <v>0</v>
      </c>
      <c r="I508" s="69">
        <f t="shared" si="84"/>
        <v>0</v>
      </c>
      <c r="J508" s="69">
        <f t="shared" si="84"/>
        <v>0</v>
      </c>
      <c r="K508" s="69">
        <f t="shared" si="84"/>
        <v>0</v>
      </c>
      <c r="L508" s="69">
        <f t="shared" si="84"/>
        <v>0</v>
      </c>
      <c r="M508" s="69">
        <f t="shared" si="84"/>
        <v>0</v>
      </c>
    </row>
    <row r="509" spans="2:13" s="70" customFormat="1" x14ac:dyDescent="0.25">
      <c r="B509" s="232"/>
      <c r="C509" s="693"/>
      <c r="D509" s="727"/>
      <c r="E509" s="69"/>
      <c r="F509" s="69"/>
      <c r="G509" s="69"/>
      <c r="H509" s="69"/>
      <c r="I509" s="69"/>
      <c r="J509" s="69"/>
      <c r="K509" s="69"/>
    </row>
    <row r="510" spans="2:13" s="70" customFormat="1" x14ac:dyDescent="0.25">
      <c r="B510" s="232"/>
      <c r="C510" s="693"/>
      <c r="D510" s="727"/>
      <c r="E510" s="69"/>
      <c r="F510" s="69"/>
      <c r="G510" s="69"/>
      <c r="H510" s="69"/>
      <c r="I510" s="69"/>
      <c r="J510" s="69"/>
      <c r="K510" s="69"/>
    </row>
    <row r="511" spans="2:13" s="70" customFormat="1" x14ac:dyDescent="0.25">
      <c r="B511" s="232"/>
      <c r="C511" s="693"/>
      <c r="D511" s="727"/>
      <c r="E511" s="69"/>
      <c r="F511" s="69"/>
      <c r="G511" s="69"/>
      <c r="H511" s="69"/>
      <c r="I511" s="69"/>
      <c r="J511" s="69"/>
      <c r="K511" s="69"/>
    </row>
    <row r="512" spans="2:13" s="70" customFormat="1" x14ac:dyDescent="0.25">
      <c r="B512" s="232"/>
      <c r="C512" s="693"/>
      <c r="D512" s="727"/>
      <c r="E512" s="69"/>
      <c r="F512" s="69"/>
      <c r="G512" s="69"/>
      <c r="H512" s="69"/>
      <c r="I512" s="69"/>
      <c r="J512" s="69"/>
      <c r="K512" s="69"/>
    </row>
    <row r="513" ht="15.75" customHeight="1" x14ac:dyDescent="0.25"/>
  </sheetData>
  <mergeCells count="59">
    <mergeCell ref="L3:M3"/>
    <mergeCell ref="J3:K3"/>
    <mergeCell ref="B197:B216"/>
    <mergeCell ref="B217:B230"/>
    <mergeCell ref="B119:B130"/>
    <mergeCell ref="B151:B162"/>
    <mergeCell ref="B163:B182"/>
    <mergeCell ref="B183:B196"/>
    <mergeCell ref="B1:C1"/>
    <mergeCell ref="D1:L1"/>
    <mergeCell ref="B5:B44"/>
    <mergeCell ref="B45:B65"/>
    <mergeCell ref="D453:E453"/>
    <mergeCell ref="F420:G420"/>
    <mergeCell ref="H420:I420"/>
    <mergeCell ref="J420:K420"/>
    <mergeCell ref="L420:M420"/>
    <mergeCell ref="B399:B406"/>
    <mergeCell ref="B66:B80"/>
    <mergeCell ref="B81:B95"/>
    <mergeCell ref="B96:B118"/>
    <mergeCell ref="B131:B150"/>
    <mergeCell ref="F3:G3"/>
    <mergeCell ref="H3:I3"/>
    <mergeCell ref="B318:B344"/>
    <mergeCell ref="B345:B365"/>
    <mergeCell ref="B366:B387"/>
    <mergeCell ref="B407:B414"/>
    <mergeCell ref="B392:B394"/>
    <mergeCell ref="B388:B391"/>
    <mergeCell ref="B231:B247"/>
    <mergeCell ref="B248:B269"/>
    <mergeCell ref="B270:B282"/>
    <mergeCell ref="B283:B303"/>
    <mergeCell ref="B304:B317"/>
    <mergeCell ref="B461:B466"/>
    <mergeCell ref="F459:G459"/>
    <mergeCell ref="H459:I459"/>
    <mergeCell ref="D419:L419"/>
    <mergeCell ref="D458:L458"/>
    <mergeCell ref="J459:K459"/>
    <mergeCell ref="L421:M421"/>
    <mergeCell ref="D421:D422"/>
    <mergeCell ref="E421:E422"/>
    <mergeCell ref="F421:G421"/>
    <mergeCell ref="H421:I421"/>
    <mergeCell ref="J421:K421"/>
    <mergeCell ref="D471:L471"/>
    <mergeCell ref="F472:G472"/>
    <mergeCell ref="H472:I472"/>
    <mergeCell ref="J472:K472"/>
    <mergeCell ref="L472:M472"/>
    <mergeCell ref="L473:M473"/>
    <mergeCell ref="D506:E506"/>
    <mergeCell ref="D473:D474"/>
    <mergeCell ref="E473:E474"/>
    <mergeCell ref="F473:G473"/>
    <mergeCell ref="H473:I473"/>
    <mergeCell ref="J473:K473"/>
  </mergeCells>
  <pageMargins left="0.31496062992125984" right="0.31496062992125984" top="0.74803149606299213" bottom="0.51181102362204722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06CF0-27BA-4AF0-8F89-67A21D4D9CA3}">
  <dimension ref="A1:J19"/>
  <sheetViews>
    <sheetView view="pageBreakPreview" zoomScale="115" zoomScaleNormal="100" zoomScaleSheetLayoutView="115" workbookViewId="0">
      <selection activeCell="J19" sqref="J19"/>
    </sheetView>
  </sheetViews>
  <sheetFormatPr defaultRowHeight="15.75" x14ac:dyDescent="0.25"/>
  <cols>
    <col min="1" max="1" width="7.140625" style="252" customWidth="1"/>
    <col min="2" max="8" width="9.140625" style="83"/>
    <col min="9" max="9" width="14.28515625" style="83" customWidth="1"/>
    <col min="10" max="10" width="5.140625" style="83" customWidth="1"/>
    <col min="11" max="16384" width="9.140625" style="83"/>
  </cols>
  <sheetData>
    <row r="1" spans="1:10" x14ac:dyDescent="0.25">
      <c r="A1" s="1128" t="s">
        <v>920</v>
      </c>
      <c r="B1" s="1128"/>
      <c r="C1" s="1128"/>
      <c r="D1" s="1128"/>
      <c r="E1" s="1128"/>
      <c r="F1" s="1128"/>
      <c r="G1" s="1128"/>
      <c r="H1" s="1128"/>
      <c r="I1" s="1128"/>
    </row>
    <row r="2" spans="1:10" x14ac:dyDescent="0.25">
      <c r="J2" s="83" t="s">
        <v>940</v>
      </c>
    </row>
    <row r="3" spans="1:10" x14ac:dyDescent="0.25">
      <c r="A3" s="252" t="s">
        <v>968</v>
      </c>
      <c r="B3" s="1129" t="s">
        <v>948</v>
      </c>
      <c r="C3" s="1129"/>
      <c r="D3" s="1129"/>
      <c r="E3" s="1129"/>
      <c r="F3" s="1129"/>
      <c r="G3" s="1129"/>
      <c r="H3" s="1129"/>
      <c r="I3" s="1129"/>
      <c r="J3" s="82">
        <v>10</v>
      </c>
    </row>
    <row r="4" spans="1:10" ht="15" customHeight="1" x14ac:dyDescent="0.25">
      <c r="A4" s="252" t="s">
        <v>969</v>
      </c>
      <c r="B4" s="1125" t="s">
        <v>1205</v>
      </c>
      <c r="C4" s="1125"/>
      <c r="D4" s="1125"/>
      <c r="E4" s="1125"/>
      <c r="F4" s="1125"/>
      <c r="G4" s="1125"/>
      <c r="H4" s="1125"/>
      <c r="I4" s="1125"/>
      <c r="J4" s="116">
        <v>13</v>
      </c>
    </row>
    <row r="5" spans="1:10" x14ac:dyDescent="0.25">
      <c r="A5" s="252" t="s">
        <v>970</v>
      </c>
      <c r="B5" s="1124" t="s">
        <v>949</v>
      </c>
      <c r="C5" s="1124"/>
      <c r="D5" s="1124"/>
      <c r="E5" s="1124"/>
      <c r="F5" s="1124"/>
      <c r="G5" s="1124"/>
      <c r="H5" s="1124"/>
      <c r="I5" s="1124"/>
      <c r="J5" s="116">
        <v>18</v>
      </c>
    </row>
    <row r="6" spans="1:10" x14ac:dyDescent="0.25">
      <c r="A6" s="252" t="s">
        <v>971</v>
      </c>
      <c r="B6" s="1124" t="s">
        <v>950</v>
      </c>
      <c r="C6" s="1124"/>
      <c r="D6" s="1124"/>
      <c r="E6" s="1124"/>
      <c r="F6" s="1124"/>
      <c r="G6" s="1124"/>
      <c r="H6" s="1124"/>
      <c r="I6" s="1124"/>
      <c r="J6" s="116">
        <v>39</v>
      </c>
    </row>
    <row r="7" spans="1:10" x14ac:dyDescent="0.25">
      <c r="A7" s="252" t="s">
        <v>972</v>
      </c>
      <c r="B7" s="1124" t="s">
        <v>951</v>
      </c>
      <c r="C7" s="1124"/>
      <c r="D7" s="1124"/>
      <c r="E7" s="1124"/>
      <c r="F7" s="1124"/>
      <c r="G7" s="1124"/>
      <c r="H7" s="1124"/>
      <c r="I7" s="1124"/>
      <c r="J7" s="116">
        <v>50</v>
      </c>
    </row>
    <row r="8" spans="1:10" x14ac:dyDescent="0.25">
      <c r="A8" s="252" t="s">
        <v>973</v>
      </c>
      <c r="B8" s="1124" t="s">
        <v>961</v>
      </c>
      <c r="C8" s="1124"/>
      <c r="D8" s="1124"/>
      <c r="E8" s="1124"/>
      <c r="F8" s="1124"/>
      <c r="G8" s="1124"/>
      <c r="H8" s="1124"/>
      <c r="I8" s="1124"/>
      <c r="J8" s="116">
        <v>58</v>
      </c>
    </row>
    <row r="9" spans="1:10" x14ac:dyDescent="0.25">
      <c r="A9" s="252" t="s">
        <v>974</v>
      </c>
      <c r="B9" s="83" t="s">
        <v>963</v>
      </c>
      <c r="J9" s="116">
        <v>60</v>
      </c>
    </row>
    <row r="10" spans="1:10" x14ac:dyDescent="0.25">
      <c r="A10" s="252" t="s">
        <v>975</v>
      </c>
      <c r="B10" s="83" t="s">
        <v>967</v>
      </c>
      <c r="J10" s="116">
        <v>81</v>
      </c>
    </row>
    <row r="11" spans="1:10" s="144" customFormat="1" ht="17.25" customHeight="1" x14ac:dyDescent="0.25">
      <c r="A11" s="252" t="s">
        <v>976</v>
      </c>
      <c r="B11" s="1126" t="s">
        <v>1177</v>
      </c>
      <c r="C11" s="1126"/>
      <c r="D11" s="1126"/>
      <c r="E11" s="1126"/>
      <c r="F11" s="1126"/>
      <c r="G11" s="1126"/>
      <c r="H11" s="1126"/>
      <c r="I11" s="1126"/>
      <c r="J11" s="144">
        <v>99</v>
      </c>
    </row>
    <row r="12" spans="1:10" s="731" customFormat="1" ht="30.75" customHeight="1" x14ac:dyDescent="0.25">
      <c r="A12" s="730" t="s">
        <v>978</v>
      </c>
      <c r="B12" s="1127" t="s">
        <v>1178</v>
      </c>
      <c r="C12" s="1127"/>
      <c r="D12" s="1127"/>
      <c r="E12" s="1127"/>
      <c r="F12" s="1127"/>
      <c r="G12" s="1127"/>
      <c r="H12" s="1127"/>
      <c r="I12" s="1127"/>
      <c r="J12" s="731">
        <v>99</v>
      </c>
    </row>
    <row r="13" spans="1:10" x14ac:dyDescent="0.25">
      <c r="A13" s="252" t="s">
        <v>981</v>
      </c>
      <c r="B13" s="83" t="s">
        <v>979</v>
      </c>
      <c r="J13" s="116">
        <v>106</v>
      </c>
    </row>
    <row r="14" spans="1:10" ht="32.25" customHeight="1" x14ac:dyDescent="0.25">
      <c r="A14" s="252" t="s">
        <v>982</v>
      </c>
      <c r="B14" s="1125" t="s">
        <v>980</v>
      </c>
      <c r="C14" s="1125"/>
      <c r="D14" s="1125"/>
      <c r="E14" s="1125"/>
      <c r="F14" s="1125"/>
      <c r="G14" s="1125"/>
      <c r="H14" s="1125"/>
      <c r="I14" s="1125"/>
      <c r="J14" s="116">
        <v>108</v>
      </c>
    </row>
    <row r="15" spans="1:10" x14ac:dyDescent="0.25">
      <c r="A15" s="252" t="s">
        <v>1175</v>
      </c>
      <c r="B15" s="1124" t="s">
        <v>1029</v>
      </c>
      <c r="C15" s="1124"/>
      <c r="D15" s="1124"/>
      <c r="E15" s="1124"/>
      <c r="F15" s="1124"/>
      <c r="G15" s="1124"/>
      <c r="H15" s="1124"/>
      <c r="I15" s="1124"/>
      <c r="J15" s="116">
        <v>108</v>
      </c>
    </row>
    <row r="16" spans="1:10" x14ac:dyDescent="0.25">
      <c r="A16" s="252" t="s">
        <v>1176</v>
      </c>
      <c r="B16" s="1124" t="s">
        <v>984</v>
      </c>
      <c r="C16" s="1124"/>
      <c r="D16" s="1124"/>
      <c r="E16" s="1124"/>
      <c r="F16" s="1124"/>
      <c r="G16" s="1124"/>
      <c r="H16" s="1124"/>
      <c r="I16" s="1124"/>
      <c r="J16" s="611">
        <v>111</v>
      </c>
    </row>
    <row r="17" spans="1:10" x14ac:dyDescent="0.25">
      <c r="A17" s="252" t="s">
        <v>983</v>
      </c>
      <c r="B17" s="1124" t="s">
        <v>986</v>
      </c>
      <c r="C17" s="1124"/>
      <c r="D17" s="1124"/>
      <c r="E17" s="1124"/>
      <c r="F17" s="1124"/>
      <c r="G17" s="1124"/>
      <c r="H17" s="1124"/>
      <c r="I17" s="1124"/>
      <c r="J17" s="611">
        <v>114</v>
      </c>
    </row>
    <row r="18" spans="1:10" ht="16.5" customHeight="1" x14ac:dyDescent="0.25">
      <c r="A18" s="252" t="s">
        <v>985</v>
      </c>
      <c r="B18" s="1124" t="s">
        <v>997</v>
      </c>
      <c r="C18" s="1124"/>
      <c r="D18" s="1124"/>
      <c r="E18" s="1124"/>
      <c r="F18" s="1124"/>
      <c r="G18" s="1124"/>
      <c r="H18" s="1124"/>
      <c r="I18" s="1124"/>
      <c r="J18" s="611">
        <v>121</v>
      </c>
    </row>
    <row r="19" spans="1:10" ht="16.5" customHeight="1" x14ac:dyDescent="0.25">
      <c r="A19" s="252" t="s">
        <v>996</v>
      </c>
      <c r="B19" s="1124" t="s">
        <v>998</v>
      </c>
      <c r="C19" s="1124"/>
      <c r="D19" s="1124"/>
      <c r="E19" s="1124"/>
      <c r="F19" s="1124"/>
      <c r="G19" s="1124"/>
      <c r="H19" s="1124"/>
      <c r="I19" s="1124"/>
      <c r="J19" s="611">
        <v>122</v>
      </c>
    </row>
  </sheetData>
  <mergeCells count="15">
    <mergeCell ref="A1:I1"/>
    <mergeCell ref="B3:I3"/>
    <mergeCell ref="B4:I4"/>
    <mergeCell ref="B5:I5"/>
    <mergeCell ref="B6:I6"/>
    <mergeCell ref="B16:I16"/>
    <mergeCell ref="B17:I17"/>
    <mergeCell ref="B18:I18"/>
    <mergeCell ref="B19:I19"/>
    <mergeCell ref="B7:I7"/>
    <mergeCell ref="B8:I8"/>
    <mergeCell ref="B14:I14"/>
    <mergeCell ref="B15:I15"/>
    <mergeCell ref="B11:I11"/>
    <mergeCell ref="B12:I12"/>
  </mergeCells>
  <pageMargins left="0.78740157480314965" right="0.51181102362204722" top="0.55118110236220474" bottom="0.55118110236220474" header="0.31496062992125984" footer="0.31496062992125984"/>
  <pageSetup paperSize="9" scale="98" firstPageNumber="9" orientation="portrait" useFirstPageNumber="1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0202D-8627-433E-B0C4-55165E42CA34}">
  <sheetPr>
    <tabColor theme="0"/>
  </sheetPr>
  <dimension ref="A1:DO81"/>
  <sheetViews>
    <sheetView view="pageBreakPreview" topLeftCell="A25" zoomScaleNormal="100" zoomScaleSheetLayoutView="100" workbookViewId="0">
      <selection activeCell="A36" sqref="A36:A37"/>
    </sheetView>
  </sheetViews>
  <sheetFormatPr defaultRowHeight="15" x14ac:dyDescent="0.25"/>
  <cols>
    <col min="1" max="1" width="6.5703125" customWidth="1"/>
    <col min="2" max="2" width="19" customWidth="1"/>
    <col min="3" max="3" width="16.5703125" customWidth="1"/>
    <col min="4" max="4" width="5.140625" customWidth="1"/>
    <col min="5" max="6" width="4.5703125" customWidth="1"/>
    <col min="7" max="7" width="4.42578125" customWidth="1"/>
    <col min="8" max="8" width="6" customWidth="1"/>
    <col min="9" max="9" width="4.140625" customWidth="1"/>
    <col min="10" max="10" width="4.5703125" customWidth="1"/>
    <col min="11" max="11" width="4.7109375" customWidth="1"/>
    <col min="12" max="12" width="5.140625" customWidth="1"/>
    <col min="13" max="13" width="29.85546875" customWidth="1"/>
    <col min="14" max="14" width="6.140625" customWidth="1"/>
    <col min="17" max="18" width="9.140625" style="3"/>
    <col min="19" max="19" width="7.140625" style="3" customWidth="1"/>
    <col min="20" max="22" width="9.140625" style="3"/>
  </cols>
  <sheetData>
    <row r="1" spans="1:22" s="52" customFormat="1" ht="18.75" customHeight="1" x14ac:dyDescent="0.25">
      <c r="A1" s="1116" t="s">
        <v>941</v>
      </c>
      <c r="B1" s="1116"/>
      <c r="C1" s="1116"/>
      <c r="D1" s="1116"/>
      <c r="E1" s="1116"/>
      <c r="F1" s="1116"/>
      <c r="G1" s="1116"/>
      <c r="H1" s="1116"/>
      <c r="I1" s="1116"/>
      <c r="J1" s="1116"/>
      <c r="K1" s="1116"/>
      <c r="L1" s="1116"/>
      <c r="M1" s="1116"/>
      <c r="N1" s="1116"/>
      <c r="O1" s="1116"/>
      <c r="P1" s="1116"/>
      <c r="Q1" s="842"/>
      <c r="R1" s="842"/>
      <c r="S1" s="842"/>
      <c r="T1" s="842"/>
      <c r="U1" s="842"/>
      <c r="V1" s="842"/>
    </row>
    <row r="2" spans="1:22" s="52" customFormat="1" ht="9.75" customHeight="1" x14ac:dyDescent="0.25">
      <c r="A2" s="180"/>
      <c r="Q2" s="842"/>
      <c r="R2" s="842"/>
      <c r="S2" s="842"/>
      <c r="T2" s="842"/>
      <c r="U2" s="842"/>
      <c r="V2" s="842"/>
    </row>
    <row r="3" spans="1:22" s="55" customFormat="1" ht="15.75" x14ac:dyDescent="0.25">
      <c r="A3" s="1170" t="s">
        <v>611</v>
      </c>
      <c r="B3" s="1170"/>
      <c r="C3" s="1170"/>
      <c r="D3" s="1170"/>
      <c r="E3" s="1170"/>
      <c r="F3" s="1170"/>
      <c r="G3" s="1170"/>
      <c r="H3" s="1170"/>
      <c r="I3" s="1170"/>
      <c r="J3" s="1170"/>
      <c r="K3" s="1170"/>
      <c r="L3" s="1170"/>
      <c r="M3" s="1170"/>
      <c r="N3" s="1170"/>
      <c r="O3" s="1170"/>
      <c r="Q3" s="842"/>
      <c r="R3" s="842"/>
      <c r="S3" s="842"/>
      <c r="T3" s="842"/>
      <c r="U3" s="842"/>
      <c r="V3" s="842"/>
    </row>
    <row r="4" spans="1:22" s="55" customFormat="1" ht="15.75" x14ac:dyDescent="0.25">
      <c r="A4" s="1101" t="s">
        <v>612</v>
      </c>
      <c r="B4" s="1101"/>
      <c r="C4" s="1101"/>
      <c r="D4" s="1101"/>
      <c r="E4" s="1101"/>
      <c r="F4" s="1101"/>
      <c r="G4" s="1101"/>
      <c r="H4" s="1101"/>
      <c r="I4" s="1101"/>
      <c r="J4" s="1101"/>
      <c r="K4" s="1101"/>
      <c r="L4" s="1101"/>
      <c r="M4" s="1101"/>
      <c r="N4" s="1101"/>
      <c r="O4" s="1101"/>
      <c r="Q4" s="842"/>
      <c r="R4" s="842"/>
      <c r="S4" s="842"/>
      <c r="T4" s="842"/>
      <c r="U4" s="842"/>
      <c r="V4" s="842"/>
    </row>
    <row r="5" spans="1:22" s="52" customFormat="1" ht="15" customHeight="1" x14ac:dyDescent="0.25">
      <c r="A5" s="180"/>
      <c r="Q5" s="842"/>
      <c r="R5" s="842"/>
      <c r="S5" s="842"/>
      <c r="T5" s="842"/>
      <c r="U5" s="842"/>
      <c r="V5" s="842"/>
    </row>
    <row r="6" spans="1:22" s="52" customFormat="1" ht="36" customHeight="1" x14ac:dyDescent="0.25">
      <c r="A6" s="1117" t="s">
        <v>613</v>
      </c>
      <c r="B6" s="1117"/>
      <c r="C6" s="1117"/>
      <c r="D6" s="1117"/>
      <c r="E6" s="1117"/>
      <c r="F6" s="1117"/>
      <c r="G6" s="1117"/>
      <c r="H6" s="1117"/>
      <c r="I6" s="1117"/>
      <c r="J6" s="1117"/>
      <c r="K6" s="1117"/>
      <c r="L6" s="1117"/>
      <c r="M6" s="1117"/>
      <c r="N6" s="1117"/>
      <c r="O6" s="1117"/>
      <c r="P6" s="1117"/>
      <c r="Q6" s="843"/>
      <c r="R6" s="843"/>
      <c r="S6" s="842"/>
      <c r="T6" s="842"/>
      <c r="U6" s="842"/>
      <c r="V6" s="842"/>
    </row>
    <row r="7" spans="1:22" s="52" customFormat="1" ht="19.5" customHeight="1" x14ac:dyDescent="0.25">
      <c r="A7" s="1116" t="s">
        <v>921</v>
      </c>
      <c r="B7" s="1116"/>
      <c r="C7" s="1116"/>
      <c r="D7" s="1116"/>
      <c r="E7" s="1116"/>
      <c r="F7" s="1116"/>
      <c r="G7" s="1116"/>
      <c r="H7" s="1116"/>
      <c r="I7" s="1116"/>
      <c r="J7" s="1116"/>
      <c r="K7" s="1116"/>
      <c r="L7" s="1116"/>
      <c r="M7" s="1116"/>
      <c r="N7" s="1116"/>
      <c r="O7" s="1116"/>
      <c r="Q7" s="842"/>
      <c r="R7" s="842"/>
      <c r="S7" s="842"/>
      <c r="T7" s="842"/>
      <c r="U7" s="842"/>
      <c r="V7" s="842"/>
    </row>
    <row r="8" spans="1:22" s="52" customFormat="1" ht="15.75" x14ac:dyDescent="0.25">
      <c r="A8" s="1101" t="s">
        <v>614</v>
      </c>
      <c r="B8" s="1101"/>
      <c r="C8" s="1101"/>
      <c r="D8" s="1101"/>
      <c r="E8" s="1101"/>
      <c r="F8" s="1101"/>
      <c r="G8" s="1101"/>
      <c r="H8" s="1101"/>
      <c r="I8" s="1101"/>
      <c r="J8" s="1101"/>
      <c r="K8" s="1101"/>
      <c r="L8" s="1101"/>
      <c r="M8" s="1101"/>
      <c r="N8" s="1101"/>
      <c r="O8" s="1101"/>
      <c r="Q8" s="842"/>
      <c r="R8" s="842"/>
      <c r="S8" s="842"/>
      <c r="T8" s="842"/>
      <c r="U8" s="842"/>
      <c r="V8" s="842"/>
    </row>
    <row r="9" spans="1:22" s="52" customFormat="1" ht="15.75" x14ac:dyDescent="0.25">
      <c r="A9" s="1101" t="s">
        <v>922</v>
      </c>
      <c r="B9" s="1101"/>
      <c r="C9" s="1101"/>
      <c r="D9" s="1101"/>
      <c r="E9" s="1101"/>
      <c r="F9" s="1101"/>
      <c r="G9" s="1101"/>
      <c r="H9" s="1101"/>
      <c r="I9" s="1101"/>
      <c r="J9" s="1101"/>
      <c r="K9" s="1101"/>
      <c r="L9" s="1101"/>
      <c r="M9" s="1101"/>
      <c r="N9" s="1101"/>
      <c r="O9" s="1101"/>
      <c r="Q9" s="842"/>
      <c r="R9" s="842"/>
      <c r="S9" s="842"/>
      <c r="T9" s="842"/>
      <c r="U9" s="842"/>
      <c r="V9" s="842"/>
    </row>
    <row r="10" spans="1:22" s="52" customFormat="1" ht="15.75" x14ac:dyDescent="0.25">
      <c r="A10" s="1101" t="s">
        <v>923</v>
      </c>
      <c r="B10" s="1101"/>
      <c r="C10" s="1101"/>
      <c r="D10" s="1101"/>
      <c r="E10" s="1101"/>
      <c r="F10" s="1101"/>
      <c r="G10" s="1101"/>
      <c r="H10" s="1101"/>
      <c r="I10" s="1101"/>
      <c r="J10" s="1101"/>
      <c r="K10" s="1101"/>
      <c r="L10" s="1101"/>
      <c r="M10" s="1101"/>
      <c r="N10" s="1101"/>
      <c r="O10" s="1101"/>
      <c r="Q10" s="842"/>
      <c r="R10" s="842"/>
      <c r="S10" s="842"/>
      <c r="T10" s="842"/>
      <c r="U10" s="842"/>
      <c r="V10" s="842"/>
    </row>
    <row r="11" spans="1:22" s="52" customFormat="1" ht="15.75" x14ac:dyDescent="0.25">
      <c r="A11" s="1101" t="s">
        <v>924</v>
      </c>
      <c r="B11" s="1101"/>
      <c r="C11" s="1101"/>
      <c r="D11" s="1101"/>
      <c r="E11" s="1101"/>
      <c r="F11" s="1101"/>
      <c r="G11" s="1101"/>
      <c r="H11" s="1101"/>
      <c r="I11" s="1101"/>
      <c r="J11" s="1101"/>
      <c r="K11" s="1101"/>
      <c r="L11" s="1101"/>
      <c r="M11" s="1101"/>
      <c r="N11" s="1101"/>
      <c r="O11" s="1101"/>
      <c r="Q11" s="842"/>
      <c r="R11" s="842"/>
      <c r="S11" s="842"/>
      <c r="T11" s="842"/>
      <c r="U11" s="842"/>
      <c r="V11" s="842"/>
    </row>
    <row r="12" spans="1:22" s="52" customFormat="1" ht="15.75" x14ac:dyDescent="0.25">
      <c r="A12" s="1101" t="s">
        <v>925</v>
      </c>
      <c r="B12" s="1101"/>
      <c r="C12" s="1101"/>
      <c r="D12" s="1101"/>
      <c r="E12" s="1101"/>
      <c r="F12" s="1101"/>
      <c r="G12" s="1101"/>
      <c r="H12" s="1101"/>
      <c r="I12" s="1101"/>
      <c r="J12" s="1101"/>
      <c r="K12" s="1101"/>
      <c r="L12" s="1101"/>
      <c r="M12" s="1101"/>
      <c r="N12" s="1101"/>
      <c r="O12" s="1101"/>
      <c r="Q12" s="842"/>
      <c r="R12" s="842"/>
      <c r="S12" s="842"/>
      <c r="T12" s="842"/>
      <c r="U12" s="842"/>
      <c r="V12" s="842"/>
    </row>
    <row r="13" spans="1:22" s="52" customFormat="1" ht="15.75" x14ac:dyDescent="0.25">
      <c r="A13" s="1101" t="s">
        <v>926</v>
      </c>
      <c r="B13" s="1101"/>
      <c r="C13" s="1101"/>
      <c r="D13" s="1101"/>
      <c r="E13" s="1101"/>
      <c r="F13" s="1101"/>
      <c r="G13" s="1101"/>
      <c r="H13" s="1101"/>
      <c r="I13" s="1101"/>
      <c r="J13" s="1101"/>
      <c r="K13" s="1101"/>
      <c r="L13" s="1101"/>
      <c r="M13" s="1101"/>
      <c r="N13" s="1101"/>
      <c r="O13" s="1101"/>
      <c r="Q13" s="842"/>
      <c r="R13" s="842"/>
      <c r="S13" s="842"/>
      <c r="T13" s="842"/>
      <c r="U13" s="842"/>
      <c r="V13" s="842"/>
    </row>
    <row r="14" spans="1:22" s="52" customFormat="1" ht="15.75" x14ac:dyDescent="0.25">
      <c r="A14" s="1101" t="s">
        <v>615</v>
      </c>
      <c r="B14" s="1101"/>
      <c r="C14" s="1101"/>
      <c r="D14" s="1101"/>
      <c r="E14" s="1101"/>
      <c r="F14" s="1101"/>
      <c r="G14" s="1101"/>
      <c r="H14" s="1101"/>
      <c r="I14" s="1101"/>
      <c r="J14" s="1101"/>
      <c r="K14" s="1101"/>
      <c r="L14" s="1101"/>
      <c r="M14" s="1101"/>
      <c r="N14" s="1101"/>
      <c r="O14" s="1101"/>
      <c r="Q14" s="842"/>
      <c r="R14" s="842"/>
      <c r="S14" s="842"/>
      <c r="T14" s="842"/>
      <c r="U14" s="842"/>
      <c r="V14" s="842"/>
    </row>
    <row r="15" spans="1:22" s="52" customFormat="1" ht="15.75" x14ac:dyDescent="0.25">
      <c r="A15" s="1101" t="s">
        <v>927</v>
      </c>
      <c r="B15" s="1101"/>
      <c r="C15" s="1101"/>
      <c r="D15" s="1101"/>
      <c r="E15" s="1101"/>
      <c r="F15" s="1101"/>
      <c r="G15" s="1101"/>
      <c r="H15" s="1101"/>
      <c r="I15" s="1101"/>
      <c r="J15" s="1101"/>
      <c r="K15" s="1101"/>
      <c r="L15" s="1101"/>
      <c r="M15" s="1101"/>
      <c r="N15" s="1101"/>
      <c r="O15" s="1101"/>
      <c r="Q15" s="842"/>
      <c r="R15" s="842"/>
      <c r="S15" s="842"/>
      <c r="T15" s="842"/>
      <c r="U15" s="842"/>
      <c r="V15" s="842"/>
    </row>
    <row r="16" spans="1:22" s="52" customFormat="1" ht="9.75" customHeight="1" x14ac:dyDescent="0.25">
      <c r="A16" s="181"/>
      <c r="Q16" s="842"/>
      <c r="R16" s="842"/>
      <c r="S16" s="842"/>
      <c r="T16" s="842"/>
      <c r="U16" s="842"/>
      <c r="V16" s="842"/>
    </row>
    <row r="17" spans="1:22" s="52" customFormat="1" ht="38.25" customHeight="1" x14ac:dyDescent="0.25">
      <c r="A17" s="1117" t="s">
        <v>616</v>
      </c>
      <c r="B17" s="1117"/>
      <c r="C17" s="1117"/>
      <c r="D17" s="1117"/>
      <c r="E17" s="1117"/>
      <c r="F17" s="1117"/>
      <c r="G17" s="1117"/>
      <c r="H17" s="1117"/>
      <c r="I17" s="1117"/>
      <c r="J17" s="1117"/>
      <c r="K17" s="1117"/>
      <c r="L17" s="1117"/>
      <c r="M17" s="1117"/>
      <c r="N17" s="1117"/>
      <c r="O17" s="1117"/>
      <c r="P17" s="1117"/>
      <c r="Q17" s="843"/>
      <c r="R17" s="843"/>
      <c r="S17" s="842"/>
      <c r="T17" s="842"/>
      <c r="U17" s="842"/>
      <c r="V17" s="842"/>
    </row>
    <row r="18" spans="1:22" s="52" customFormat="1" ht="11.25" customHeight="1" x14ac:dyDescent="0.25">
      <c r="A18" s="181"/>
      <c r="Q18" s="842"/>
      <c r="R18" s="842"/>
      <c r="S18" s="842"/>
      <c r="T18" s="842"/>
      <c r="U18" s="842"/>
      <c r="V18" s="842"/>
    </row>
    <row r="19" spans="1:22" s="52" customFormat="1" ht="18.75" x14ac:dyDescent="0.25">
      <c r="A19" s="1116" t="s">
        <v>928</v>
      </c>
      <c r="B19" s="1116"/>
      <c r="C19" s="1116"/>
      <c r="D19" s="1116"/>
      <c r="E19" s="1116"/>
      <c r="F19" s="1116"/>
      <c r="G19" s="1116"/>
      <c r="H19" s="1116"/>
      <c r="I19" s="1116"/>
      <c r="J19" s="1116"/>
      <c r="K19" s="1116"/>
      <c r="L19" s="1116"/>
      <c r="M19" s="1116"/>
      <c r="N19" s="1116"/>
      <c r="O19" s="1116"/>
      <c r="Q19" s="842"/>
      <c r="R19" s="842"/>
      <c r="S19" s="842"/>
      <c r="T19" s="842"/>
      <c r="U19" s="842"/>
      <c r="V19" s="842"/>
    </row>
    <row r="20" spans="1:22" s="52" customFormat="1" ht="11.25" customHeight="1" x14ac:dyDescent="0.25">
      <c r="A20" s="180"/>
      <c r="Q20" s="842"/>
      <c r="R20" s="842"/>
      <c r="S20" s="842"/>
      <c r="T20" s="842"/>
      <c r="U20" s="842"/>
      <c r="V20" s="842"/>
    </row>
    <row r="21" spans="1:22" s="52" customFormat="1" ht="18.75" x14ac:dyDescent="0.25">
      <c r="A21" s="1117" t="s">
        <v>617</v>
      </c>
      <c r="B21" s="1117"/>
      <c r="C21" s="1117"/>
      <c r="D21" s="1117"/>
      <c r="E21" s="1117"/>
      <c r="F21" s="1117"/>
      <c r="G21" s="1117"/>
      <c r="H21" s="1117"/>
      <c r="I21" s="1117"/>
      <c r="J21" s="1117"/>
      <c r="K21" s="1117"/>
      <c r="L21" s="1117"/>
      <c r="M21" s="1117"/>
      <c r="N21" s="1117"/>
      <c r="O21" s="1117"/>
      <c r="Q21" s="842"/>
      <c r="R21" s="842"/>
      <c r="S21" s="842"/>
      <c r="T21" s="842"/>
      <c r="U21" s="842"/>
      <c r="V21" s="842"/>
    </row>
    <row r="22" spans="1:22" s="52" customFormat="1" ht="18.75" x14ac:dyDescent="0.25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Q22" s="842"/>
      <c r="R22" s="842"/>
      <c r="S22" s="842"/>
      <c r="T22" s="842"/>
      <c r="U22" s="842"/>
      <c r="V22" s="842"/>
    </row>
    <row r="23" spans="1:22" s="52" customFormat="1" ht="18.75" x14ac:dyDescent="0.25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Q23" s="842"/>
      <c r="R23" s="842"/>
      <c r="S23" s="842"/>
      <c r="T23" s="842"/>
      <c r="U23" s="842"/>
      <c r="V23" s="842"/>
    </row>
    <row r="24" spans="1:22" s="52" customFormat="1" ht="18.75" x14ac:dyDescent="0.25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Q24" s="842"/>
      <c r="R24" s="842"/>
      <c r="S24" s="842"/>
      <c r="T24" s="842"/>
      <c r="U24" s="842"/>
      <c r="V24" s="842"/>
    </row>
    <row r="25" spans="1:22" s="52" customFormat="1" ht="18.75" x14ac:dyDescent="0.25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Q25" s="842"/>
      <c r="R25" s="842"/>
      <c r="S25" s="842"/>
      <c r="T25" s="842"/>
      <c r="U25" s="842"/>
      <c r="V25" s="842"/>
    </row>
    <row r="26" spans="1:22" s="52" customFormat="1" ht="18.75" x14ac:dyDescent="0.25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Q26" s="842"/>
      <c r="R26" s="842"/>
      <c r="S26" s="842"/>
      <c r="T26" s="842"/>
      <c r="U26" s="842"/>
      <c r="V26" s="842"/>
    </row>
    <row r="27" spans="1:22" s="52" customFormat="1" ht="18.75" x14ac:dyDescent="0.25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Q27" s="842"/>
      <c r="R27" s="842"/>
      <c r="S27" s="842"/>
      <c r="T27" s="842"/>
      <c r="U27" s="842"/>
      <c r="V27" s="842"/>
    </row>
    <row r="28" spans="1:22" s="52" customFormat="1" ht="17.25" customHeight="1" x14ac:dyDescent="0.25">
      <c r="Q28" s="842"/>
      <c r="R28" s="842"/>
      <c r="S28" s="842"/>
      <c r="T28" s="842"/>
      <c r="U28" s="842"/>
      <c r="V28" s="842"/>
    </row>
    <row r="29" spans="1:22" s="52" customFormat="1" ht="17.25" customHeight="1" x14ac:dyDescent="0.25">
      <c r="Q29" s="842"/>
      <c r="R29" s="842"/>
      <c r="S29" s="842"/>
      <c r="T29" s="842"/>
      <c r="U29" s="842"/>
      <c r="V29" s="842"/>
    </row>
    <row r="30" spans="1:22" ht="15.75" x14ac:dyDescent="0.25">
      <c r="A30" s="1158" t="s">
        <v>1028</v>
      </c>
      <c r="B30" s="1158"/>
      <c r="C30" s="1158"/>
      <c r="D30" s="1158"/>
      <c r="E30" s="1158"/>
      <c r="F30" s="1158"/>
      <c r="G30" s="1158"/>
      <c r="H30" s="1158"/>
      <c r="I30" s="1158"/>
      <c r="J30" s="1158"/>
      <c r="K30" s="1158"/>
      <c r="L30" s="1158"/>
      <c r="M30" s="1158"/>
      <c r="N30" s="1158"/>
      <c r="O30" s="1158"/>
      <c r="P30" s="1158"/>
      <c r="Q30" s="596"/>
      <c r="R30" s="596"/>
    </row>
    <row r="31" spans="1:22" ht="32.25" customHeight="1" x14ac:dyDescent="0.25">
      <c r="A31" s="8" t="s">
        <v>0</v>
      </c>
      <c r="B31" s="8" t="s">
        <v>1</v>
      </c>
      <c r="C31" s="8" t="s">
        <v>2</v>
      </c>
      <c r="D31" s="8" t="s">
        <v>929</v>
      </c>
      <c r="E31" s="8" t="s">
        <v>930</v>
      </c>
      <c r="F31" s="8" t="s">
        <v>931</v>
      </c>
      <c r="G31" s="8" t="s">
        <v>932</v>
      </c>
      <c r="H31" s="8" t="s">
        <v>933</v>
      </c>
      <c r="I31" s="8" t="s">
        <v>934</v>
      </c>
      <c r="J31" s="8" t="s">
        <v>935</v>
      </c>
      <c r="K31" s="8" t="s">
        <v>936</v>
      </c>
      <c r="L31" s="8" t="s">
        <v>937</v>
      </c>
      <c r="M31" s="8" t="s">
        <v>3</v>
      </c>
      <c r="N31" s="8" t="s">
        <v>4</v>
      </c>
      <c r="O31" s="8" t="s">
        <v>938</v>
      </c>
      <c r="P31" s="8" t="s">
        <v>939</v>
      </c>
      <c r="Q31" s="59"/>
      <c r="R31" s="59"/>
    </row>
    <row r="32" spans="1:22" ht="15" customHeight="1" x14ac:dyDescent="0.25">
      <c r="A32" s="8">
        <v>1</v>
      </c>
      <c r="B32" s="8">
        <v>2</v>
      </c>
      <c r="C32" s="8">
        <v>3</v>
      </c>
      <c r="D32" s="8">
        <v>4</v>
      </c>
      <c r="E32" s="8">
        <v>5</v>
      </c>
      <c r="F32" s="8">
        <v>6</v>
      </c>
      <c r="G32" s="8">
        <v>7</v>
      </c>
      <c r="H32" s="8">
        <v>8</v>
      </c>
      <c r="I32" s="8">
        <v>9</v>
      </c>
      <c r="J32" s="8">
        <v>10</v>
      </c>
      <c r="K32" s="8">
        <v>11</v>
      </c>
      <c r="L32" s="8">
        <v>12</v>
      </c>
      <c r="M32" s="8">
        <v>13</v>
      </c>
      <c r="N32" s="8">
        <v>14</v>
      </c>
      <c r="O32" s="8">
        <v>15</v>
      </c>
      <c r="P32" s="8">
        <v>16</v>
      </c>
      <c r="Q32" s="59"/>
      <c r="R32" s="59"/>
    </row>
    <row r="33" spans="1:22" ht="15" customHeight="1" x14ac:dyDescent="0.25">
      <c r="A33" s="1164" t="s">
        <v>61</v>
      </c>
      <c r="B33" s="1165"/>
      <c r="C33" s="1165"/>
      <c r="D33" s="1165"/>
      <c r="E33" s="1165"/>
      <c r="F33" s="1165"/>
      <c r="G33" s="1165"/>
      <c r="H33" s="1165"/>
      <c r="I33" s="1165"/>
      <c r="J33" s="1165"/>
      <c r="K33" s="1165"/>
      <c r="L33" s="1165"/>
      <c r="M33" s="1165"/>
      <c r="N33" s="1165"/>
      <c r="O33" s="1165"/>
      <c r="P33" s="1166"/>
      <c r="Q33" s="844"/>
      <c r="R33" s="844"/>
    </row>
    <row r="34" spans="1:22" ht="15" customHeight="1" x14ac:dyDescent="0.25">
      <c r="A34" s="1159" t="s">
        <v>5</v>
      </c>
      <c r="B34" s="1160"/>
      <c r="C34" s="1160"/>
      <c r="D34" s="1160"/>
      <c r="E34" s="1160"/>
      <c r="F34" s="1160"/>
      <c r="G34" s="1160"/>
      <c r="H34" s="1160"/>
      <c r="I34" s="1160"/>
      <c r="J34" s="1160"/>
      <c r="K34" s="1160"/>
      <c r="L34" s="1160"/>
      <c r="M34" s="1160"/>
      <c r="N34" s="1160"/>
      <c r="O34" s="1160"/>
      <c r="P34" s="1161"/>
      <c r="Q34" s="845"/>
      <c r="R34" s="845"/>
      <c r="S34" s="3" t="s">
        <v>6</v>
      </c>
      <c r="T34" s="3" t="s">
        <v>7</v>
      </c>
    </row>
    <row r="35" spans="1:22" ht="15" customHeight="1" x14ac:dyDescent="0.25">
      <c r="A35" s="1130" t="s">
        <v>8</v>
      </c>
      <c r="B35" s="1131"/>
      <c r="C35" s="1131"/>
      <c r="D35" s="1131"/>
      <c r="E35" s="1131"/>
      <c r="F35" s="1131"/>
      <c r="G35" s="1131"/>
      <c r="H35" s="1131"/>
      <c r="I35" s="1131"/>
      <c r="J35" s="1131"/>
      <c r="K35" s="1131"/>
      <c r="L35" s="1131"/>
      <c r="M35" s="1131"/>
      <c r="N35" s="1131"/>
      <c r="O35" s="1131"/>
      <c r="P35" s="1132"/>
      <c r="Q35" s="845"/>
      <c r="R35" s="845"/>
    </row>
    <row r="36" spans="1:22" ht="15" customHeight="1" x14ac:dyDescent="0.25">
      <c r="A36" s="1162" t="s">
        <v>307</v>
      </c>
      <c r="B36" s="1152" t="s">
        <v>9</v>
      </c>
      <c r="C36" s="1154" t="s">
        <v>10</v>
      </c>
      <c r="D36" s="328">
        <v>1.3</v>
      </c>
      <c r="E36" s="328">
        <v>1.76</v>
      </c>
      <c r="F36" s="328">
        <v>8.5</v>
      </c>
      <c r="G36" s="328">
        <v>7</v>
      </c>
      <c r="H36" s="328">
        <f>ROUND(((T36/S36)/G36),0)</f>
        <v>74</v>
      </c>
      <c r="I36" s="328">
        <v>120</v>
      </c>
      <c r="J36" s="328">
        <v>1.4</v>
      </c>
      <c r="K36" s="328">
        <v>0.1</v>
      </c>
      <c r="L36" s="328">
        <v>1.25</v>
      </c>
      <c r="M36" s="29" t="s">
        <v>1035</v>
      </c>
      <c r="N36" s="29">
        <v>2908</v>
      </c>
      <c r="O36" s="328">
        <f>ROUND(((D36*E36*F36*J36*K36/(I36*L36))),4)</f>
        <v>1.8200000000000001E-2</v>
      </c>
      <c r="P36" s="328">
        <f>ROUND(((D36*3.6*E36*F36*G36*H36*J36*K36/(1000*I36*L36))),4)</f>
        <v>3.3799999999999997E-2</v>
      </c>
      <c r="Q36" s="566"/>
      <c r="R36" s="566"/>
      <c r="S36" s="3">
        <v>40</v>
      </c>
      <c r="T36" s="3">
        <f>51814*0.4</f>
        <v>20725.600000000002</v>
      </c>
    </row>
    <row r="37" spans="1:22" ht="15" customHeight="1" x14ac:dyDescent="0.25">
      <c r="A37" s="1163"/>
      <c r="B37" s="1153"/>
      <c r="C37" s="1153"/>
      <c r="D37" s="328">
        <v>1.3</v>
      </c>
      <c r="E37" s="328">
        <v>1.76</v>
      </c>
      <c r="F37" s="328">
        <v>16.600000000000001</v>
      </c>
      <c r="G37" s="328">
        <v>7</v>
      </c>
      <c r="H37" s="328">
        <f>ROUND(((T37/S37)/G37),0)</f>
        <v>111</v>
      </c>
      <c r="I37" s="328">
        <v>55</v>
      </c>
      <c r="J37" s="328">
        <v>1.4</v>
      </c>
      <c r="K37" s="328">
        <v>0.1</v>
      </c>
      <c r="L37" s="328">
        <v>1.25</v>
      </c>
      <c r="M37" s="29" t="s">
        <v>1035</v>
      </c>
      <c r="N37" s="29">
        <v>2908</v>
      </c>
      <c r="O37" s="328">
        <f>ROUND(((D37*E37*F37*J37*K37/(I37*L37))),4)</f>
        <v>7.7299999999999994E-2</v>
      </c>
      <c r="P37" s="328">
        <f>ROUND(((D37*3.6*E37*F37*G37*H37*J37*K37/(1000*I37*L37))),4)</f>
        <v>0.21629999999999999</v>
      </c>
      <c r="Q37" s="566"/>
      <c r="R37" s="566"/>
      <c r="S37" s="3">
        <v>40</v>
      </c>
      <c r="T37" s="3">
        <f>51814*0.6</f>
        <v>31088.399999999998</v>
      </c>
    </row>
    <row r="38" spans="1:22" s="147" customFormat="1" ht="15" customHeight="1" x14ac:dyDescent="0.25">
      <c r="A38" s="1136" t="s">
        <v>308</v>
      </c>
      <c r="B38" s="1137"/>
      <c r="C38" s="1137"/>
      <c r="D38" s="1137"/>
      <c r="E38" s="1137"/>
      <c r="F38" s="1137"/>
      <c r="G38" s="1137"/>
      <c r="H38" s="1137"/>
      <c r="I38" s="1137"/>
      <c r="J38" s="1137"/>
      <c r="K38" s="1137"/>
      <c r="L38" s="1138"/>
      <c r="M38" s="329" t="s">
        <v>1036</v>
      </c>
      <c r="N38" s="329">
        <v>2908</v>
      </c>
      <c r="O38" s="567">
        <f>O36+O37</f>
        <v>9.5500000000000002E-2</v>
      </c>
      <c r="P38" s="567">
        <f>P36+P37</f>
        <v>0.25009999999999999</v>
      </c>
      <c r="Q38" s="846"/>
      <c r="R38" s="846"/>
      <c r="S38" s="3"/>
      <c r="T38" s="3"/>
      <c r="U38" s="3"/>
      <c r="V38" s="3"/>
    </row>
    <row r="39" spans="1:22" ht="15" customHeight="1" x14ac:dyDescent="0.25">
      <c r="A39" s="1130" t="s">
        <v>244</v>
      </c>
      <c r="B39" s="1131"/>
      <c r="C39" s="1131"/>
      <c r="D39" s="1131"/>
      <c r="E39" s="1131"/>
      <c r="F39" s="1131"/>
      <c r="G39" s="1131"/>
      <c r="H39" s="1131"/>
      <c r="I39" s="1131"/>
      <c r="J39" s="1131"/>
      <c r="K39" s="1131"/>
      <c r="L39" s="1131"/>
      <c r="M39" s="1131"/>
      <c r="N39" s="1131"/>
      <c r="O39" s="1131"/>
      <c r="P39" s="1132"/>
      <c r="Q39" s="845"/>
      <c r="R39" s="845"/>
    </row>
    <row r="40" spans="1:22" ht="15" customHeight="1" x14ac:dyDescent="0.25">
      <c r="A40" s="1150" t="s">
        <v>422</v>
      </c>
      <c r="B40" s="1152" t="s">
        <v>9</v>
      </c>
      <c r="C40" s="1154" t="s">
        <v>10</v>
      </c>
      <c r="D40" s="328">
        <v>1.3</v>
      </c>
      <c r="E40" s="328">
        <v>1.76</v>
      </c>
      <c r="F40" s="328">
        <v>8.5</v>
      </c>
      <c r="G40" s="328">
        <v>7</v>
      </c>
      <c r="H40" s="328">
        <f>ROUND(((T40/S40)/G40),0)</f>
        <v>7</v>
      </c>
      <c r="I40" s="328">
        <v>120</v>
      </c>
      <c r="J40" s="328">
        <v>1.4</v>
      </c>
      <c r="K40" s="328">
        <v>0.1</v>
      </c>
      <c r="L40" s="328">
        <v>1.25</v>
      </c>
      <c r="M40" s="29" t="s">
        <v>1035</v>
      </c>
      <c r="N40" s="29">
        <v>2908</v>
      </c>
      <c r="O40" s="328">
        <f>ROUND(((D40*E40*F40*J40*K40/(I40*L40))),4)</f>
        <v>1.8200000000000001E-2</v>
      </c>
      <c r="P40" s="328">
        <f>ROUND(((D40*3.6*E40*F40*G40*H40*J40*K40/(1000*I40*L40))),4)</f>
        <v>3.2000000000000002E-3</v>
      </c>
      <c r="Q40" s="566"/>
      <c r="R40" s="566"/>
      <c r="S40" s="3">
        <v>40</v>
      </c>
      <c r="T40" s="3">
        <f>4970*0.4</f>
        <v>1988</v>
      </c>
    </row>
    <row r="41" spans="1:22" ht="15" customHeight="1" x14ac:dyDescent="0.25">
      <c r="A41" s="1151"/>
      <c r="B41" s="1153"/>
      <c r="C41" s="1153"/>
      <c r="D41" s="328">
        <v>1.3</v>
      </c>
      <c r="E41" s="328">
        <v>1.76</v>
      </c>
      <c r="F41" s="328">
        <v>16.600000000000001</v>
      </c>
      <c r="G41" s="328">
        <v>7</v>
      </c>
      <c r="H41" s="328">
        <f>ROUND(((T41/S41)/G41),0)</f>
        <v>11</v>
      </c>
      <c r="I41" s="328">
        <v>55</v>
      </c>
      <c r="J41" s="328">
        <v>1.4</v>
      </c>
      <c r="K41" s="328">
        <v>0.1</v>
      </c>
      <c r="L41" s="328">
        <v>1.25</v>
      </c>
      <c r="M41" s="29" t="s">
        <v>1035</v>
      </c>
      <c r="N41" s="29">
        <v>2908</v>
      </c>
      <c r="O41" s="328">
        <f>ROUND(((D41*E41*F41*J41*K41/(I41*L41))),4)</f>
        <v>7.7299999999999994E-2</v>
      </c>
      <c r="P41" s="328">
        <f>ROUND(((D41*3.6*E41*F41*G41*H41*J41*K41/(1000*I41*L41))),4)</f>
        <v>2.1399999999999999E-2</v>
      </c>
      <c r="Q41" s="566"/>
      <c r="R41" s="566"/>
      <c r="S41" s="3">
        <v>40</v>
      </c>
      <c r="T41" s="3">
        <f>4970*0.6</f>
        <v>2982</v>
      </c>
    </row>
    <row r="42" spans="1:22" s="147" customFormat="1" ht="15" customHeight="1" x14ac:dyDescent="0.25">
      <c r="A42" s="1136" t="s">
        <v>423</v>
      </c>
      <c r="B42" s="1137"/>
      <c r="C42" s="1137"/>
      <c r="D42" s="1137"/>
      <c r="E42" s="1137"/>
      <c r="F42" s="1137"/>
      <c r="G42" s="1137"/>
      <c r="H42" s="1137"/>
      <c r="I42" s="1137"/>
      <c r="J42" s="1137"/>
      <c r="K42" s="1137"/>
      <c r="L42" s="1138"/>
      <c r="M42" s="329" t="s">
        <v>1036</v>
      </c>
      <c r="N42" s="329">
        <v>2908</v>
      </c>
      <c r="O42" s="567">
        <f>O40+O41</f>
        <v>9.5500000000000002E-2</v>
      </c>
      <c r="P42" s="567">
        <f>P40+P41</f>
        <v>2.46E-2</v>
      </c>
      <c r="Q42" s="846"/>
      <c r="R42" s="846"/>
      <c r="S42" s="3"/>
      <c r="T42" s="3"/>
      <c r="U42" s="3"/>
      <c r="V42" s="3"/>
    </row>
    <row r="43" spans="1:22" ht="15" customHeight="1" x14ac:dyDescent="0.25">
      <c r="A43" s="1130" t="s">
        <v>264</v>
      </c>
      <c r="B43" s="1131"/>
      <c r="C43" s="1131"/>
      <c r="D43" s="1131"/>
      <c r="E43" s="1131"/>
      <c r="F43" s="1131"/>
      <c r="G43" s="1131"/>
      <c r="H43" s="1131"/>
      <c r="I43" s="1131"/>
      <c r="J43" s="1131"/>
      <c r="K43" s="1131"/>
      <c r="L43" s="1131"/>
      <c r="M43" s="1131"/>
      <c r="N43" s="1131"/>
      <c r="O43" s="1131"/>
      <c r="P43" s="1132"/>
      <c r="Q43" s="847"/>
      <c r="R43" s="847"/>
      <c r="S43" s="4"/>
      <c r="T43" s="4"/>
      <c r="U43" s="4"/>
      <c r="V43" s="4"/>
    </row>
    <row r="44" spans="1:22" ht="15" customHeight="1" x14ac:dyDescent="0.25">
      <c r="A44" s="1150" t="s">
        <v>468</v>
      </c>
      <c r="B44" s="1152" t="s">
        <v>9</v>
      </c>
      <c r="C44" s="1154" t="s">
        <v>10</v>
      </c>
      <c r="D44" s="328">
        <v>1.3</v>
      </c>
      <c r="E44" s="328">
        <v>1.76</v>
      </c>
      <c r="F44" s="328">
        <v>8.5</v>
      </c>
      <c r="G44" s="328">
        <v>7</v>
      </c>
      <c r="H44" s="328">
        <f>ROUND(((T44/S44)/G44),0)</f>
        <v>5</v>
      </c>
      <c r="I44" s="328">
        <v>120</v>
      </c>
      <c r="J44" s="328">
        <v>1.4</v>
      </c>
      <c r="K44" s="328">
        <v>0.1</v>
      </c>
      <c r="L44" s="328">
        <v>1.25</v>
      </c>
      <c r="M44" s="29" t="s">
        <v>1035</v>
      </c>
      <c r="N44" s="29">
        <v>2908</v>
      </c>
      <c r="O44" s="328">
        <f>ROUND(((D44*E44*F44*J44*K44/(I44*L44))),4)</f>
        <v>1.8200000000000001E-2</v>
      </c>
      <c r="P44" s="328">
        <f>ROUND(((D44*3.6*E44*F44*G44*H44*J44*K44/(1000*I44*L44))),4)</f>
        <v>2.3E-3</v>
      </c>
      <c r="Q44" s="566"/>
      <c r="R44" s="566"/>
      <c r="S44" s="3">
        <v>40</v>
      </c>
      <c r="T44" s="5">
        <f>3228*0.4</f>
        <v>1291.2</v>
      </c>
      <c r="U44" s="5"/>
      <c r="V44" s="5"/>
    </row>
    <row r="45" spans="1:22" ht="15" customHeight="1" x14ac:dyDescent="0.25">
      <c r="A45" s="1151"/>
      <c r="B45" s="1153"/>
      <c r="C45" s="1153"/>
      <c r="D45" s="328">
        <v>1.3</v>
      </c>
      <c r="E45" s="328">
        <v>1.76</v>
      </c>
      <c r="F45" s="328">
        <v>16.600000000000001</v>
      </c>
      <c r="G45" s="328">
        <v>7</v>
      </c>
      <c r="H45" s="328">
        <f>ROUND(((T45/S45)/G45),0)</f>
        <v>7</v>
      </c>
      <c r="I45" s="328">
        <v>55</v>
      </c>
      <c r="J45" s="328">
        <v>1.4</v>
      </c>
      <c r="K45" s="328">
        <v>0.1</v>
      </c>
      <c r="L45" s="328">
        <v>1.25</v>
      </c>
      <c r="M45" s="29" t="s">
        <v>1035</v>
      </c>
      <c r="N45" s="29">
        <v>2908</v>
      </c>
      <c r="O45" s="328">
        <f>ROUND(((D45*E45*F45*J45*K45/(I45*L45))),4)</f>
        <v>7.7299999999999994E-2</v>
      </c>
      <c r="P45" s="328">
        <f>ROUND(((D45*3.6*E45*F45*G45*H45*J45*K45/(1000*I45*L45))),4)</f>
        <v>1.3599999999999999E-2</v>
      </c>
      <c r="Q45" s="566"/>
      <c r="R45" s="566"/>
      <c r="S45" s="3">
        <v>40</v>
      </c>
      <c r="T45" s="5">
        <f>3228*0.6</f>
        <v>1936.8</v>
      </c>
      <c r="U45" s="5"/>
      <c r="V45" s="5"/>
    </row>
    <row r="46" spans="1:22" ht="15" customHeight="1" x14ac:dyDescent="0.25">
      <c r="A46" s="1136" t="s">
        <v>469</v>
      </c>
      <c r="B46" s="1137"/>
      <c r="C46" s="1137"/>
      <c r="D46" s="1137"/>
      <c r="E46" s="1137"/>
      <c r="F46" s="1137"/>
      <c r="G46" s="1137"/>
      <c r="H46" s="1137"/>
      <c r="I46" s="1137"/>
      <c r="J46" s="1137"/>
      <c r="K46" s="1137"/>
      <c r="L46" s="1138"/>
      <c r="M46" s="329" t="s">
        <v>1036</v>
      </c>
      <c r="N46" s="329">
        <v>2908</v>
      </c>
      <c r="O46" s="567">
        <f>O44+O45</f>
        <v>9.5500000000000002E-2</v>
      </c>
      <c r="P46" s="567">
        <f>P44+P45</f>
        <v>1.5899999999999997E-2</v>
      </c>
      <c r="Q46" s="568"/>
      <c r="R46" s="568"/>
      <c r="T46" s="5"/>
      <c r="U46" s="5"/>
      <c r="V46" s="5"/>
    </row>
    <row r="47" spans="1:22" ht="15" customHeight="1" x14ac:dyDescent="0.25">
      <c r="A47" s="1130" t="s">
        <v>276</v>
      </c>
      <c r="B47" s="1131"/>
      <c r="C47" s="1131"/>
      <c r="D47" s="1131"/>
      <c r="E47" s="1131"/>
      <c r="F47" s="1131"/>
      <c r="G47" s="1131"/>
      <c r="H47" s="1131"/>
      <c r="I47" s="1131"/>
      <c r="J47" s="1131"/>
      <c r="K47" s="1131"/>
      <c r="L47" s="1131"/>
      <c r="M47" s="1131"/>
      <c r="N47" s="1131"/>
      <c r="O47" s="1131"/>
      <c r="P47" s="1132"/>
      <c r="Q47" s="845"/>
      <c r="R47" s="845"/>
    </row>
    <row r="48" spans="1:22" ht="15" customHeight="1" x14ac:dyDescent="0.25">
      <c r="A48" s="1150" t="s">
        <v>478</v>
      </c>
      <c r="B48" s="1152" t="s">
        <v>9</v>
      </c>
      <c r="C48" s="1154" t="s">
        <v>10</v>
      </c>
      <c r="D48" s="328">
        <v>1.3</v>
      </c>
      <c r="E48" s="328">
        <v>1.76</v>
      </c>
      <c r="F48" s="328">
        <v>8.5</v>
      </c>
      <c r="G48" s="328">
        <v>7</v>
      </c>
      <c r="H48" s="328">
        <f>ROUND(((T48/S48)/G48),0)</f>
        <v>6</v>
      </c>
      <c r="I48" s="328">
        <v>120</v>
      </c>
      <c r="J48" s="328">
        <v>1.4</v>
      </c>
      <c r="K48" s="328">
        <v>0.1</v>
      </c>
      <c r="L48" s="328">
        <v>1.25</v>
      </c>
      <c r="M48" s="29" t="s">
        <v>1035</v>
      </c>
      <c r="N48" s="29">
        <v>2908</v>
      </c>
      <c r="O48" s="328">
        <f>ROUND(((D48*E48*F48*J48*K48/(I48*L48))),4)</f>
        <v>1.8200000000000001E-2</v>
      </c>
      <c r="P48" s="328">
        <f>ROUND(((D48*3.6*E48*F48*G48*H48*J48*K48/(1000*I48*L48))),4)</f>
        <v>2.7000000000000001E-3</v>
      </c>
      <c r="Q48" s="566"/>
      <c r="R48" s="566"/>
      <c r="S48" s="3">
        <v>40</v>
      </c>
      <c r="T48" s="3">
        <f>3850*0.4</f>
        <v>1540</v>
      </c>
    </row>
    <row r="49" spans="1:22" ht="15" customHeight="1" x14ac:dyDescent="0.25">
      <c r="A49" s="1151"/>
      <c r="B49" s="1153"/>
      <c r="C49" s="1153"/>
      <c r="D49" s="328">
        <v>1.3</v>
      </c>
      <c r="E49" s="328">
        <v>1.76</v>
      </c>
      <c r="F49" s="328">
        <v>16.600000000000001</v>
      </c>
      <c r="G49" s="328">
        <v>7</v>
      </c>
      <c r="H49" s="328">
        <f>ROUND(((T49/S49)/G49),0)</f>
        <v>8</v>
      </c>
      <c r="I49" s="328">
        <v>55</v>
      </c>
      <c r="J49" s="328">
        <v>1.4</v>
      </c>
      <c r="K49" s="328">
        <v>0.1</v>
      </c>
      <c r="L49" s="328">
        <v>1.25</v>
      </c>
      <c r="M49" s="29" t="s">
        <v>1035</v>
      </c>
      <c r="N49" s="29">
        <v>2908</v>
      </c>
      <c r="O49" s="328">
        <f>ROUND(((D49*E49*F49*J49*K49/(I49*L49))),4)</f>
        <v>7.7299999999999994E-2</v>
      </c>
      <c r="P49" s="328">
        <f>ROUND(((D49*3.6*E49*F49*G49*H49*J49*K49/(1000*I49*L49))),4)</f>
        <v>1.5599999999999999E-2</v>
      </c>
      <c r="Q49" s="566"/>
      <c r="R49" s="566"/>
      <c r="S49" s="3">
        <v>40</v>
      </c>
      <c r="T49" s="3">
        <f>3850*0.6</f>
        <v>2310</v>
      </c>
    </row>
    <row r="50" spans="1:22" s="147" customFormat="1" ht="15" customHeight="1" x14ac:dyDescent="0.25">
      <c r="A50" s="1136" t="s">
        <v>479</v>
      </c>
      <c r="B50" s="1137"/>
      <c r="C50" s="1137"/>
      <c r="D50" s="1137"/>
      <c r="E50" s="1137"/>
      <c r="F50" s="1137"/>
      <c r="G50" s="1137"/>
      <c r="H50" s="1137"/>
      <c r="I50" s="1137"/>
      <c r="J50" s="1137"/>
      <c r="K50" s="1137"/>
      <c r="L50" s="1138"/>
      <c r="M50" s="329" t="s">
        <v>1036</v>
      </c>
      <c r="N50" s="329">
        <v>2908</v>
      </c>
      <c r="O50" s="567">
        <f>O48+O49</f>
        <v>9.5500000000000002E-2</v>
      </c>
      <c r="P50" s="567">
        <f>P48+P49</f>
        <v>1.83E-2</v>
      </c>
      <c r="Q50" s="568"/>
      <c r="R50" s="568"/>
      <c r="S50" s="3"/>
      <c r="T50" s="3"/>
      <c r="U50" s="3"/>
      <c r="V50" s="3"/>
    </row>
    <row r="51" spans="1:22" ht="15" customHeight="1" x14ac:dyDescent="0.25">
      <c r="A51" s="1130" t="s">
        <v>284</v>
      </c>
      <c r="B51" s="1131"/>
      <c r="C51" s="1131"/>
      <c r="D51" s="1131"/>
      <c r="E51" s="1131"/>
      <c r="F51" s="1131"/>
      <c r="G51" s="1131"/>
      <c r="H51" s="1131"/>
      <c r="I51" s="1131"/>
      <c r="J51" s="1131"/>
      <c r="K51" s="1131"/>
      <c r="L51" s="1131"/>
      <c r="M51" s="1131"/>
      <c r="N51" s="1131"/>
      <c r="O51" s="1131"/>
      <c r="P51" s="1132"/>
      <c r="Q51" s="845"/>
      <c r="R51" s="845"/>
    </row>
    <row r="52" spans="1:22" ht="15" customHeight="1" x14ac:dyDescent="0.25">
      <c r="A52" s="1150" t="s">
        <v>488</v>
      </c>
      <c r="B52" s="1152" t="s">
        <v>9</v>
      </c>
      <c r="C52" s="1154" t="s">
        <v>10</v>
      </c>
      <c r="D52" s="328">
        <v>1.3</v>
      </c>
      <c r="E52" s="328">
        <v>1.76</v>
      </c>
      <c r="F52" s="328">
        <v>8.5</v>
      </c>
      <c r="G52" s="328">
        <v>7</v>
      </c>
      <c r="H52" s="328">
        <f>ROUND(((T52/S52)/G52),0)</f>
        <v>1</v>
      </c>
      <c r="I52" s="328">
        <v>120</v>
      </c>
      <c r="J52" s="328">
        <v>1.4</v>
      </c>
      <c r="K52" s="328">
        <v>0.1</v>
      </c>
      <c r="L52" s="328">
        <v>1.25</v>
      </c>
      <c r="M52" s="29" t="s">
        <v>1035</v>
      </c>
      <c r="N52" s="29">
        <v>2908</v>
      </c>
      <c r="O52" s="328">
        <f>ROUND(((D52*E52*F52*J52*K52/(I52*L52))),4)</f>
        <v>1.8200000000000001E-2</v>
      </c>
      <c r="P52" s="328">
        <f>ROUND(((D52*3.6*E52*F52*G52*H52*J52*K52/(1000*I52*L52))),4)</f>
        <v>5.0000000000000001E-4</v>
      </c>
      <c r="Q52" s="566"/>
      <c r="R52" s="566"/>
      <c r="S52" s="3">
        <v>40</v>
      </c>
      <c r="T52" s="3">
        <f>704*0.4</f>
        <v>281.60000000000002</v>
      </c>
    </row>
    <row r="53" spans="1:22" ht="15" customHeight="1" x14ac:dyDescent="0.25">
      <c r="A53" s="1151"/>
      <c r="B53" s="1153"/>
      <c r="C53" s="1153"/>
      <c r="D53" s="328">
        <v>1.3</v>
      </c>
      <c r="E53" s="328">
        <v>1.76</v>
      </c>
      <c r="F53" s="328">
        <v>16.600000000000001</v>
      </c>
      <c r="G53" s="328">
        <v>7</v>
      </c>
      <c r="H53" s="328">
        <f>ROUND(((T53/S53)/G53),0)</f>
        <v>2</v>
      </c>
      <c r="I53" s="328">
        <v>55</v>
      </c>
      <c r="J53" s="328">
        <v>1.4</v>
      </c>
      <c r="K53" s="328">
        <v>0.1</v>
      </c>
      <c r="L53" s="328">
        <v>1.25</v>
      </c>
      <c r="M53" s="29" t="s">
        <v>1035</v>
      </c>
      <c r="N53" s="29">
        <v>2908</v>
      </c>
      <c r="O53" s="328">
        <f>ROUND(((D53*E53*F53*J53*K53/(I53*L53))),4)</f>
        <v>7.7299999999999994E-2</v>
      </c>
      <c r="P53" s="328">
        <f>ROUND(((D53*3.6*E53*F53*G53*H53*J53*K53/(1000*I53*L53))),4)</f>
        <v>3.8999999999999998E-3</v>
      </c>
      <c r="Q53" s="566"/>
      <c r="R53" s="566"/>
      <c r="S53" s="3">
        <v>40</v>
      </c>
      <c r="T53" s="3">
        <f>704*0.6</f>
        <v>422.4</v>
      </c>
    </row>
    <row r="54" spans="1:22" s="147" customFormat="1" ht="15" customHeight="1" x14ac:dyDescent="0.25">
      <c r="A54" s="1136" t="s">
        <v>489</v>
      </c>
      <c r="B54" s="1137"/>
      <c r="C54" s="1137"/>
      <c r="D54" s="1137"/>
      <c r="E54" s="1137"/>
      <c r="F54" s="1137"/>
      <c r="G54" s="1137"/>
      <c r="H54" s="1137"/>
      <c r="I54" s="1137"/>
      <c r="J54" s="1137"/>
      <c r="K54" s="1137"/>
      <c r="L54" s="1138"/>
      <c r="M54" s="329" t="s">
        <v>1036</v>
      </c>
      <c r="N54" s="329">
        <v>2908</v>
      </c>
      <c r="O54" s="567">
        <f>O52+O53</f>
        <v>9.5500000000000002E-2</v>
      </c>
      <c r="P54" s="567">
        <f>P52+P53</f>
        <v>4.3999999999999994E-3</v>
      </c>
      <c r="Q54" s="846"/>
      <c r="R54" s="846"/>
      <c r="S54" s="846"/>
      <c r="T54" s="3"/>
      <c r="U54" s="3"/>
      <c r="V54" s="3"/>
    </row>
    <row r="55" spans="1:22" s="147" customFormat="1" ht="15" customHeight="1" x14ac:dyDescent="0.25">
      <c r="A55" s="1147" t="s">
        <v>1063</v>
      </c>
      <c r="B55" s="1148"/>
      <c r="C55" s="1148"/>
      <c r="D55" s="1148"/>
      <c r="E55" s="1148"/>
      <c r="F55" s="1148"/>
      <c r="G55" s="1148"/>
      <c r="H55" s="1148"/>
      <c r="I55" s="1148"/>
      <c r="J55" s="1148"/>
      <c r="K55" s="1148"/>
      <c r="L55" s="1148"/>
      <c r="M55" s="1148"/>
      <c r="N55" s="1148"/>
      <c r="O55" s="1148"/>
      <c r="P55" s="1149"/>
      <c r="Q55" s="848"/>
      <c r="R55" s="848"/>
      <c r="S55" s="4"/>
      <c r="T55" s="4"/>
      <c r="U55" s="4"/>
      <c r="V55" s="4"/>
    </row>
    <row r="56" spans="1:22" s="147" customFormat="1" ht="15" customHeight="1" x14ac:dyDescent="0.25">
      <c r="A56" s="1150" t="s">
        <v>1064</v>
      </c>
      <c r="B56" s="1152" t="s">
        <v>9</v>
      </c>
      <c r="C56" s="1154" t="s">
        <v>10</v>
      </c>
      <c r="D56" s="328">
        <v>1.3</v>
      </c>
      <c r="E56" s="328">
        <v>1.76</v>
      </c>
      <c r="F56" s="328">
        <v>8.5</v>
      </c>
      <c r="G56" s="328">
        <v>7</v>
      </c>
      <c r="H56" s="328">
        <f>ROUND(((T56/S56)/G56),0)</f>
        <v>2</v>
      </c>
      <c r="I56" s="328">
        <v>120</v>
      </c>
      <c r="J56" s="328">
        <v>1.4</v>
      </c>
      <c r="K56" s="328">
        <v>0.1</v>
      </c>
      <c r="L56" s="328">
        <v>1.25</v>
      </c>
      <c r="M56" s="29" t="s">
        <v>1035</v>
      </c>
      <c r="N56" s="29">
        <v>2908</v>
      </c>
      <c r="O56" s="328">
        <f>ROUND(((D56*E56*F56*J56*K56/(I56*L56))),4)</f>
        <v>1.8200000000000001E-2</v>
      </c>
      <c r="P56" s="328">
        <f>ROUND(((D56*3.6*E56*F56*G56*H56*J56*K56/(1000*I56*L56))),4)</f>
        <v>8.9999999999999998E-4</v>
      </c>
      <c r="Q56" s="566"/>
      <c r="R56" s="566"/>
      <c r="S56" s="3">
        <v>40</v>
      </c>
      <c r="T56" s="3">
        <f>1495*0.4</f>
        <v>598</v>
      </c>
      <c r="U56" s="3"/>
      <c r="V56" s="3"/>
    </row>
    <row r="57" spans="1:22" s="147" customFormat="1" ht="15" customHeight="1" x14ac:dyDescent="0.25">
      <c r="A57" s="1151"/>
      <c r="B57" s="1153"/>
      <c r="C57" s="1153"/>
      <c r="D57" s="328">
        <v>1.3</v>
      </c>
      <c r="E57" s="328">
        <v>1.76</v>
      </c>
      <c r="F57" s="328">
        <v>16.600000000000001</v>
      </c>
      <c r="G57" s="328">
        <v>7</v>
      </c>
      <c r="H57" s="328">
        <f>ROUND(((T57/S57)/G57),0)</f>
        <v>3</v>
      </c>
      <c r="I57" s="328">
        <v>55</v>
      </c>
      <c r="J57" s="328">
        <v>1.4</v>
      </c>
      <c r="K57" s="328">
        <v>0.1</v>
      </c>
      <c r="L57" s="328">
        <v>1.25</v>
      </c>
      <c r="M57" s="29" t="s">
        <v>1035</v>
      </c>
      <c r="N57" s="29">
        <v>2908</v>
      </c>
      <c r="O57" s="328">
        <f>ROUND(((D57*E57*F57*J57*K57/(I57*L57))),4)</f>
        <v>7.7299999999999994E-2</v>
      </c>
      <c r="P57" s="328">
        <f>ROUND(((D57*3.6*E57*F57*G57*H57*J57*K57/(1000*I57*L57))),4)</f>
        <v>5.7999999999999996E-3</v>
      </c>
      <c r="Q57" s="566"/>
      <c r="R57" s="566"/>
      <c r="S57" s="3">
        <v>40</v>
      </c>
      <c r="T57" s="3">
        <f>1495*0.6</f>
        <v>897</v>
      </c>
      <c r="U57" s="3"/>
      <c r="V57" s="3"/>
    </row>
    <row r="58" spans="1:22" s="147" customFormat="1" ht="15" customHeight="1" x14ac:dyDescent="0.25">
      <c r="A58" s="1136" t="s">
        <v>1065</v>
      </c>
      <c r="B58" s="1137"/>
      <c r="C58" s="1137"/>
      <c r="D58" s="1137"/>
      <c r="E58" s="1137"/>
      <c r="F58" s="1137"/>
      <c r="G58" s="1137"/>
      <c r="H58" s="1137"/>
      <c r="I58" s="1137"/>
      <c r="J58" s="1137"/>
      <c r="K58" s="1137"/>
      <c r="L58" s="1138"/>
      <c r="M58" s="329" t="s">
        <v>1036</v>
      </c>
      <c r="N58" s="329">
        <v>2908</v>
      </c>
      <c r="O58" s="567">
        <f>O56+O57</f>
        <v>9.5500000000000002E-2</v>
      </c>
      <c r="P58" s="567">
        <f>P56+P57</f>
        <v>6.6999999999999994E-3</v>
      </c>
      <c r="Q58" s="849">
        <f>O38+O42+O46+O50+O54+O58</f>
        <v>0.57300000000000006</v>
      </c>
      <c r="R58" s="849">
        <f>P38+P42+P46+P50+P54+P58</f>
        <v>0.31999999999999995</v>
      </c>
      <c r="S58" s="849">
        <v>2026</v>
      </c>
      <c r="T58" s="3"/>
      <c r="U58" s="3"/>
      <c r="V58" s="3"/>
    </row>
    <row r="59" spans="1:22" ht="15" customHeight="1" x14ac:dyDescent="0.25">
      <c r="A59" s="1167" t="s">
        <v>11</v>
      </c>
      <c r="B59" s="1168"/>
      <c r="C59" s="1168"/>
      <c r="D59" s="1168"/>
      <c r="E59" s="1168"/>
      <c r="F59" s="1168"/>
      <c r="G59" s="1168"/>
      <c r="H59" s="1168"/>
      <c r="I59" s="1168"/>
      <c r="J59" s="1168"/>
      <c r="K59" s="1168"/>
      <c r="L59" s="1168"/>
      <c r="M59" s="1168"/>
      <c r="N59" s="1168"/>
      <c r="O59" s="1168"/>
      <c r="P59" s="1169"/>
      <c r="Q59" s="847"/>
      <c r="R59" s="847"/>
      <c r="S59" s="5"/>
      <c r="T59" s="5"/>
      <c r="U59" s="4"/>
      <c r="V59" s="4"/>
    </row>
    <row r="60" spans="1:22" ht="15" customHeight="1" x14ac:dyDescent="0.25">
      <c r="A60" s="1133" t="s">
        <v>8</v>
      </c>
      <c r="B60" s="1134"/>
      <c r="C60" s="1134"/>
      <c r="D60" s="1134"/>
      <c r="E60" s="1134"/>
      <c r="F60" s="1134"/>
      <c r="G60" s="1134"/>
      <c r="H60" s="1134"/>
      <c r="I60" s="1134"/>
      <c r="J60" s="1134"/>
      <c r="K60" s="1134"/>
      <c r="L60" s="1134"/>
      <c r="M60" s="1134"/>
      <c r="N60" s="1134"/>
      <c r="O60" s="1134"/>
      <c r="P60" s="1135"/>
      <c r="Q60" s="847"/>
      <c r="R60" s="847"/>
      <c r="S60" s="4"/>
      <c r="T60" s="4"/>
      <c r="U60" s="4"/>
      <c r="V60" s="4"/>
    </row>
    <row r="61" spans="1:22" ht="15" customHeight="1" x14ac:dyDescent="0.25">
      <c r="A61" s="1142" t="s">
        <v>307</v>
      </c>
      <c r="B61" s="1144" t="s">
        <v>9</v>
      </c>
      <c r="C61" s="1146" t="s">
        <v>10</v>
      </c>
      <c r="D61" s="308">
        <v>1.3</v>
      </c>
      <c r="E61" s="308">
        <v>1.76</v>
      </c>
      <c r="F61" s="308">
        <v>8.5</v>
      </c>
      <c r="G61" s="308">
        <v>7</v>
      </c>
      <c r="H61" s="308">
        <f>ROUND(((T61/S61)/G61),0)</f>
        <v>32</v>
      </c>
      <c r="I61" s="308">
        <v>120</v>
      </c>
      <c r="J61" s="308">
        <v>1.4</v>
      </c>
      <c r="K61" s="308">
        <v>0.1</v>
      </c>
      <c r="L61" s="308">
        <v>1.25</v>
      </c>
      <c r="M61" s="309" t="s">
        <v>1030</v>
      </c>
      <c r="N61" s="309">
        <v>2908</v>
      </c>
      <c r="O61" s="308">
        <f>ROUND(((D61*E61*F61*J61*K61/(I61*L61))),4)</f>
        <v>1.8200000000000001E-2</v>
      </c>
      <c r="P61" s="308">
        <f>ROUND(((D61*3.6*E61*F61*G61*H61*J61*K61/(1000*I61*L61))),4)</f>
        <v>1.46E-2</v>
      </c>
      <c r="Q61" s="569"/>
      <c r="R61" s="569"/>
      <c r="S61" s="5">
        <v>40</v>
      </c>
      <c r="T61" s="5">
        <f>22206*0.4</f>
        <v>8882.4</v>
      </c>
      <c r="U61" s="5"/>
      <c r="V61" s="5"/>
    </row>
    <row r="62" spans="1:22" ht="15" customHeight="1" x14ac:dyDescent="0.25">
      <c r="A62" s="1143"/>
      <c r="B62" s="1145"/>
      <c r="C62" s="1145"/>
      <c r="D62" s="308">
        <v>1.3</v>
      </c>
      <c r="E62" s="308">
        <v>1.76</v>
      </c>
      <c r="F62" s="308">
        <v>16.600000000000001</v>
      </c>
      <c r="G62" s="308">
        <v>7</v>
      </c>
      <c r="H62" s="308">
        <f>ROUND(((T62/S62)/G62),0)</f>
        <v>48</v>
      </c>
      <c r="I62" s="308">
        <v>55</v>
      </c>
      <c r="J62" s="308">
        <v>1.4</v>
      </c>
      <c r="K62" s="308">
        <v>0.1</v>
      </c>
      <c r="L62" s="308">
        <v>1.25</v>
      </c>
      <c r="M62" s="309" t="s">
        <v>1030</v>
      </c>
      <c r="N62" s="309">
        <v>2908</v>
      </c>
      <c r="O62" s="308">
        <f>ROUND(((D62*E62*F62*J62*K62/(I62*L62))),4)</f>
        <v>7.7299999999999994E-2</v>
      </c>
      <c r="P62" s="308">
        <f>ROUND(((D62*3.6*E62*F62*G62*H62*J62*K62/(1000*I62*L62))),4)</f>
        <v>9.3600000000000003E-2</v>
      </c>
      <c r="Q62" s="569"/>
      <c r="R62" s="569"/>
      <c r="S62" s="5">
        <v>40</v>
      </c>
      <c r="T62" s="5">
        <f>22206*0.6</f>
        <v>13323.6</v>
      </c>
      <c r="U62" s="5"/>
      <c r="V62" s="5"/>
    </row>
    <row r="63" spans="1:22" ht="15" customHeight="1" x14ac:dyDescent="0.25">
      <c r="A63" s="1139" t="s">
        <v>308</v>
      </c>
      <c r="B63" s="1140"/>
      <c r="C63" s="1140"/>
      <c r="D63" s="1140"/>
      <c r="E63" s="1140"/>
      <c r="F63" s="1140"/>
      <c r="G63" s="1140"/>
      <c r="H63" s="1140"/>
      <c r="I63" s="1140"/>
      <c r="J63" s="1140"/>
      <c r="K63" s="1140"/>
      <c r="L63" s="1141"/>
      <c r="M63" s="310" t="s">
        <v>1031</v>
      </c>
      <c r="N63" s="310">
        <v>2908</v>
      </c>
      <c r="O63" s="570">
        <f>O61+O62</f>
        <v>9.5500000000000002E-2</v>
      </c>
      <c r="P63" s="570">
        <f>P61+P62</f>
        <v>0.1082</v>
      </c>
      <c r="Q63" s="841"/>
      <c r="R63" s="841"/>
      <c r="S63" s="5"/>
      <c r="T63" s="5"/>
      <c r="U63" s="5"/>
      <c r="V63" s="5"/>
    </row>
    <row r="64" spans="1:22" ht="15" customHeight="1" x14ac:dyDescent="0.25">
      <c r="A64" s="1130" t="s">
        <v>260</v>
      </c>
      <c r="B64" s="1131"/>
      <c r="C64" s="1131"/>
      <c r="D64" s="1131"/>
      <c r="E64" s="1131"/>
      <c r="F64" s="1131"/>
      <c r="G64" s="1131"/>
      <c r="H64" s="1131"/>
      <c r="I64" s="1131"/>
      <c r="J64" s="1131"/>
      <c r="K64" s="1131"/>
      <c r="L64" s="1131"/>
      <c r="M64" s="1131"/>
      <c r="N64" s="1131"/>
      <c r="O64" s="1131"/>
      <c r="P64" s="1132"/>
      <c r="Q64" s="847"/>
      <c r="R64" s="847"/>
      <c r="S64" s="4"/>
      <c r="T64" s="4"/>
      <c r="U64" s="4"/>
      <c r="V64" s="4"/>
    </row>
    <row r="65" spans="1:119" ht="15" customHeight="1" x14ac:dyDescent="0.25">
      <c r="A65" s="1150" t="s">
        <v>452</v>
      </c>
      <c r="B65" s="1152" t="s">
        <v>9</v>
      </c>
      <c r="C65" s="1154" t="s">
        <v>10</v>
      </c>
      <c r="D65" s="328">
        <v>1.3</v>
      </c>
      <c r="E65" s="328">
        <v>1.76</v>
      </c>
      <c r="F65" s="328">
        <v>8.5</v>
      </c>
      <c r="G65" s="328">
        <v>7</v>
      </c>
      <c r="H65" s="328">
        <f>ROUND(((T65/S65)/G65),0)</f>
        <v>4</v>
      </c>
      <c r="I65" s="328">
        <v>120</v>
      </c>
      <c r="J65" s="328">
        <v>1.4</v>
      </c>
      <c r="K65" s="328">
        <v>0.1</v>
      </c>
      <c r="L65" s="328">
        <v>1.25</v>
      </c>
      <c r="M65" s="29" t="s">
        <v>1035</v>
      </c>
      <c r="N65" s="29">
        <v>2908</v>
      </c>
      <c r="O65" s="328">
        <f>ROUND(((D65*E65*F65*J65*K65/(I65*L65))),4)</f>
        <v>1.8200000000000001E-2</v>
      </c>
      <c r="P65" s="328">
        <f>ROUND(((D65*3.6*E65*F65*G65*H65*J65*K65/(1000*I65*L65))),4)</f>
        <v>1.8E-3</v>
      </c>
      <c r="Q65" s="569"/>
      <c r="R65" s="569"/>
      <c r="S65" s="5">
        <v>40</v>
      </c>
      <c r="T65" s="5">
        <f>2723*0.4</f>
        <v>1089.2</v>
      </c>
      <c r="U65" s="5"/>
      <c r="V65" s="5"/>
    </row>
    <row r="66" spans="1:119" ht="15" customHeight="1" x14ac:dyDescent="0.25">
      <c r="A66" s="1151"/>
      <c r="B66" s="1153"/>
      <c r="C66" s="1153"/>
      <c r="D66" s="328">
        <v>1.3</v>
      </c>
      <c r="E66" s="328">
        <v>1.76</v>
      </c>
      <c r="F66" s="328">
        <v>16.600000000000001</v>
      </c>
      <c r="G66" s="328">
        <v>7</v>
      </c>
      <c r="H66" s="328">
        <f>ROUND(((T66/S66)/G66),0)</f>
        <v>6</v>
      </c>
      <c r="I66" s="328">
        <v>55</v>
      </c>
      <c r="J66" s="328">
        <v>1.4</v>
      </c>
      <c r="K66" s="328">
        <v>0.1</v>
      </c>
      <c r="L66" s="328">
        <v>1.25</v>
      </c>
      <c r="M66" s="29" t="s">
        <v>1035</v>
      </c>
      <c r="N66" s="29">
        <v>2908</v>
      </c>
      <c r="O66" s="328">
        <f>ROUND(((D66*E66*F66*J66*K66/(I66*L66))),4)</f>
        <v>7.7299999999999994E-2</v>
      </c>
      <c r="P66" s="328">
        <f>ROUND(((D66*3.6*E66*F66*G66*H66*J66*K66/(1000*I66*L66))),4)</f>
        <v>1.17E-2</v>
      </c>
      <c r="Q66" s="569"/>
      <c r="R66" s="569"/>
      <c r="S66" s="5">
        <v>40</v>
      </c>
      <c r="T66" s="5">
        <f>2723*0.6</f>
        <v>1633.8</v>
      </c>
      <c r="U66" s="5"/>
      <c r="V66" s="5"/>
    </row>
    <row r="67" spans="1:119" s="160" customFormat="1" ht="15" customHeight="1" x14ac:dyDescent="0.25">
      <c r="A67" s="1136" t="s">
        <v>453</v>
      </c>
      <c r="B67" s="1137"/>
      <c r="C67" s="1137"/>
      <c r="D67" s="1137"/>
      <c r="E67" s="1137"/>
      <c r="F67" s="1137"/>
      <c r="G67" s="1137"/>
      <c r="H67" s="1137"/>
      <c r="I67" s="1137"/>
      <c r="J67" s="1137"/>
      <c r="K67" s="1137"/>
      <c r="L67" s="1138"/>
      <c r="M67" s="329" t="s">
        <v>1036</v>
      </c>
      <c r="N67" s="329">
        <v>2908</v>
      </c>
      <c r="O67" s="567">
        <f>O65+O66</f>
        <v>9.5500000000000002E-2</v>
      </c>
      <c r="P67" s="567">
        <f>P65+P66</f>
        <v>1.35E-2</v>
      </c>
      <c r="Q67" s="849">
        <f>O63+O67</f>
        <v>0.191</v>
      </c>
      <c r="R67" s="849">
        <f>P63+P67</f>
        <v>0.1217</v>
      </c>
      <c r="S67" s="849">
        <v>2027</v>
      </c>
      <c r="T67" s="5"/>
      <c r="U67" s="5"/>
      <c r="V67" s="5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</row>
    <row r="68" spans="1:119" ht="15" customHeight="1" x14ac:dyDescent="0.25">
      <c r="A68" s="1155" t="s">
        <v>60</v>
      </c>
      <c r="B68" s="1156"/>
      <c r="C68" s="1156"/>
      <c r="D68" s="1156"/>
      <c r="E68" s="1156"/>
      <c r="F68" s="1156"/>
      <c r="G68" s="1156"/>
      <c r="H68" s="1156"/>
      <c r="I68" s="1156"/>
      <c r="J68" s="1156"/>
      <c r="K68" s="1156"/>
      <c r="L68" s="1156"/>
      <c r="M68" s="1156"/>
      <c r="N68" s="1156"/>
      <c r="O68" s="1156"/>
      <c r="P68" s="1157"/>
      <c r="Q68" s="847"/>
      <c r="R68" s="847"/>
    </row>
    <row r="69" spans="1:119" s="302" customFormat="1" ht="15" customHeight="1" x14ac:dyDescent="0.25">
      <c r="A69" s="1130" t="s">
        <v>255</v>
      </c>
      <c r="B69" s="1131"/>
      <c r="C69" s="1131"/>
      <c r="D69" s="1131"/>
      <c r="E69" s="1131"/>
      <c r="F69" s="1131"/>
      <c r="G69" s="1131"/>
      <c r="H69" s="1131"/>
      <c r="I69" s="1131"/>
      <c r="J69" s="1131"/>
      <c r="K69" s="1131"/>
      <c r="L69" s="1131"/>
      <c r="M69" s="1131"/>
      <c r="N69" s="1131"/>
      <c r="O69" s="1131"/>
      <c r="P69" s="1132"/>
      <c r="Q69" s="847"/>
      <c r="R69" s="847"/>
      <c r="S69" s="4"/>
      <c r="T69" s="4"/>
      <c r="U69" s="4"/>
      <c r="V69" s="4"/>
    </row>
    <row r="70" spans="1:119" ht="15" customHeight="1" x14ac:dyDescent="0.25">
      <c r="A70" s="1150" t="s">
        <v>433</v>
      </c>
      <c r="B70" s="1152" t="s">
        <v>9</v>
      </c>
      <c r="C70" s="1154" t="s">
        <v>10</v>
      </c>
      <c r="D70" s="328">
        <v>1.3</v>
      </c>
      <c r="E70" s="328">
        <v>1.76</v>
      </c>
      <c r="F70" s="328">
        <v>8.5</v>
      </c>
      <c r="G70" s="328">
        <v>7</v>
      </c>
      <c r="H70" s="328">
        <f>ROUND(((T70/S70)/G70),0)</f>
        <v>9</v>
      </c>
      <c r="I70" s="328">
        <v>120</v>
      </c>
      <c r="J70" s="328">
        <v>1.4</v>
      </c>
      <c r="K70" s="328">
        <v>0.1</v>
      </c>
      <c r="L70" s="328">
        <v>1.25</v>
      </c>
      <c r="M70" s="29" t="s">
        <v>1035</v>
      </c>
      <c r="N70" s="29">
        <v>2908</v>
      </c>
      <c r="O70" s="328">
        <f>ROUND(((D70*E70*F70*J70*K70/(I70*L70))),4)</f>
        <v>1.8200000000000001E-2</v>
      </c>
      <c r="P70" s="328">
        <f>ROUND(((D70*3.6*E70*F70*G70*H70*J70*K70/(1000*I70*L70))),4)</f>
        <v>4.1000000000000003E-3</v>
      </c>
      <c r="Q70" s="569"/>
      <c r="R70" s="569"/>
      <c r="S70" s="5">
        <v>20</v>
      </c>
      <c r="T70" s="5">
        <f>3138*0.4</f>
        <v>1255.2</v>
      </c>
      <c r="U70" s="5"/>
      <c r="V70" s="5"/>
    </row>
    <row r="71" spans="1:119" ht="15" customHeight="1" x14ac:dyDescent="0.25">
      <c r="A71" s="1151"/>
      <c r="B71" s="1153"/>
      <c r="C71" s="1153"/>
      <c r="D71" s="328">
        <v>1.3</v>
      </c>
      <c r="E71" s="328">
        <v>1.76</v>
      </c>
      <c r="F71" s="328">
        <v>16.600000000000001</v>
      </c>
      <c r="G71" s="328">
        <v>7</v>
      </c>
      <c r="H71" s="328">
        <f>ROUND(((T71/S71)/G71),0)</f>
        <v>13</v>
      </c>
      <c r="I71" s="328">
        <v>55</v>
      </c>
      <c r="J71" s="328">
        <v>1.4</v>
      </c>
      <c r="K71" s="328">
        <v>0.1</v>
      </c>
      <c r="L71" s="328">
        <v>1.25</v>
      </c>
      <c r="M71" s="29" t="s">
        <v>1035</v>
      </c>
      <c r="N71" s="29">
        <v>2908</v>
      </c>
      <c r="O71" s="328">
        <f>ROUND(((D71*E71*F71*J71*K71/(I71*L71))),4)</f>
        <v>7.7299999999999994E-2</v>
      </c>
      <c r="P71" s="328">
        <f>ROUND(((D71*3.6*E71*F71*G71*H71*J71*K71/(1000*I71*L71))),4)</f>
        <v>2.53E-2</v>
      </c>
      <c r="Q71" s="569"/>
      <c r="R71" s="569"/>
      <c r="S71" s="5">
        <v>20</v>
      </c>
      <c r="T71" s="5">
        <f>3138*0.6</f>
        <v>1882.8</v>
      </c>
      <c r="U71" s="5"/>
      <c r="V71" s="5"/>
    </row>
    <row r="72" spans="1:119" ht="15" customHeight="1" x14ac:dyDescent="0.25">
      <c r="A72" s="1136" t="s">
        <v>434</v>
      </c>
      <c r="B72" s="1137"/>
      <c r="C72" s="1137"/>
      <c r="D72" s="1137"/>
      <c r="E72" s="1137"/>
      <c r="F72" s="1137"/>
      <c r="G72" s="1137"/>
      <c r="H72" s="1137"/>
      <c r="I72" s="1137"/>
      <c r="J72" s="1137"/>
      <c r="K72" s="1137"/>
      <c r="L72" s="1138"/>
      <c r="M72" s="329" t="s">
        <v>1036</v>
      </c>
      <c r="N72" s="329">
        <v>2908</v>
      </c>
      <c r="O72" s="567">
        <f>O70+O71</f>
        <v>9.5500000000000002E-2</v>
      </c>
      <c r="P72" s="567">
        <f>P70+P71</f>
        <v>2.9399999999999999E-2</v>
      </c>
      <c r="Q72" s="841"/>
      <c r="R72" s="841"/>
      <c r="S72" s="5"/>
      <c r="T72" s="5"/>
      <c r="U72" s="5"/>
      <c r="V72" s="5"/>
    </row>
    <row r="73" spans="1:119" ht="15" customHeight="1" x14ac:dyDescent="0.25">
      <c r="A73" s="1130" t="s">
        <v>302</v>
      </c>
      <c r="B73" s="1131"/>
      <c r="C73" s="1131"/>
      <c r="D73" s="1131"/>
      <c r="E73" s="1131"/>
      <c r="F73" s="1131"/>
      <c r="G73" s="1131"/>
      <c r="H73" s="1131"/>
      <c r="I73" s="1131"/>
      <c r="J73" s="1131"/>
      <c r="K73" s="1131"/>
      <c r="L73" s="1131"/>
      <c r="M73" s="1131"/>
      <c r="N73" s="1131"/>
      <c r="O73" s="1131"/>
      <c r="P73" s="1132"/>
      <c r="Q73" s="847"/>
      <c r="R73" s="847"/>
      <c r="S73" s="4"/>
      <c r="T73" s="4"/>
      <c r="U73" s="4"/>
      <c r="V73" s="4"/>
    </row>
    <row r="74" spans="1:119" ht="15" customHeight="1" x14ac:dyDescent="0.25">
      <c r="A74" s="1150" t="s">
        <v>510</v>
      </c>
      <c r="B74" s="1152" t="s">
        <v>9</v>
      </c>
      <c r="C74" s="1154" t="s">
        <v>10</v>
      </c>
      <c r="D74" s="328">
        <v>1.3</v>
      </c>
      <c r="E74" s="328">
        <v>1.76</v>
      </c>
      <c r="F74" s="328">
        <v>8.5</v>
      </c>
      <c r="G74" s="328">
        <v>7</v>
      </c>
      <c r="H74" s="328">
        <f>ROUND(((T74/S74)/G74),0)</f>
        <v>10</v>
      </c>
      <c r="I74" s="328">
        <v>120</v>
      </c>
      <c r="J74" s="328">
        <v>1.4</v>
      </c>
      <c r="K74" s="328">
        <v>0.1</v>
      </c>
      <c r="L74" s="328">
        <v>1.25</v>
      </c>
      <c r="M74" s="29" t="s">
        <v>1035</v>
      </c>
      <c r="N74" s="29">
        <v>2908</v>
      </c>
      <c r="O74" s="328">
        <f>ROUND(((D74*E74*F74*J74*K74/(I74*L74))),4)</f>
        <v>1.8200000000000001E-2</v>
      </c>
      <c r="P74" s="328">
        <f>ROUND(((D74*3.6*E74*F74*G74*H74*J74*K74/(1000*I74*L74))),4)</f>
        <v>4.5999999999999999E-3</v>
      </c>
      <c r="Q74" s="569"/>
      <c r="R74" s="569"/>
      <c r="S74" s="5">
        <v>20</v>
      </c>
      <c r="T74" s="5">
        <f>3643.6*0.4</f>
        <v>1457.44</v>
      </c>
      <c r="U74" s="5"/>
      <c r="V74" s="5"/>
    </row>
    <row r="75" spans="1:119" ht="15" customHeight="1" x14ac:dyDescent="0.25">
      <c r="A75" s="1151"/>
      <c r="B75" s="1153"/>
      <c r="C75" s="1153"/>
      <c r="D75" s="328">
        <v>1.3</v>
      </c>
      <c r="E75" s="328">
        <v>1.76</v>
      </c>
      <c r="F75" s="328">
        <v>16.600000000000001</v>
      </c>
      <c r="G75" s="328">
        <v>7</v>
      </c>
      <c r="H75" s="328">
        <f>ROUND(((T75/S75)/G75),0)</f>
        <v>16</v>
      </c>
      <c r="I75" s="328">
        <v>55</v>
      </c>
      <c r="J75" s="328">
        <v>1.4</v>
      </c>
      <c r="K75" s="328">
        <v>0.1</v>
      </c>
      <c r="L75" s="328">
        <v>1.25</v>
      </c>
      <c r="M75" s="29" t="s">
        <v>1035</v>
      </c>
      <c r="N75" s="29">
        <v>2908</v>
      </c>
      <c r="O75" s="328">
        <f>ROUND(((D75*E75*F75*J75*K75/(I75*L75))),4)</f>
        <v>7.7299999999999994E-2</v>
      </c>
      <c r="P75" s="328">
        <f>ROUND(((D75*3.6*E75*F75*G75*H75*J75*K75/(1000*I75*L75))),4)</f>
        <v>3.1199999999999999E-2</v>
      </c>
      <c r="Q75" s="569"/>
      <c r="R75" s="569"/>
      <c r="S75" s="5">
        <v>20</v>
      </c>
      <c r="T75" s="5">
        <f>3643.6*0.6</f>
        <v>2186.16</v>
      </c>
      <c r="U75" s="5"/>
      <c r="V75" s="5"/>
    </row>
    <row r="76" spans="1:119" s="160" customFormat="1" ht="15" customHeight="1" x14ac:dyDescent="0.25">
      <c r="A76" s="1136" t="s">
        <v>511</v>
      </c>
      <c r="B76" s="1137"/>
      <c r="C76" s="1137"/>
      <c r="D76" s="1137"/>
      <c r="E76" s="1137"/>
      <c r="F76" s="1137"/>
      <c r="G76" s="1137"/>
      <c r="H76" s="1137"/>
      <c r="I76" s="1137"/>
      <c r="J76" s="1137"/>
      <c r="K76" s="1137"/>
      <c r="L76" s="1138"/>
      <c r="M76" s="329" t="s">
        <v>1036</v>
      </c>
      <c r="N76" s="329">
        <v>2908</v>
      </c>
      <c r="O76" s="567">
        <f>O74+O75</f>
        <v>9.5500000000000002E-2</v>
      </c>
      <c r="P76" s="567">
        <f>P74+P75</f>
        <v>3.5799999999999998E-2</v>
      </c>
      <c r="Q76" s="849">
        <f>O72+O76</f>
        <v>0.191</v>
      </c>
      <c r="R76" s="849">
        <f>P72+P76</f>
        <v>6.5199999999999994E-2</v>
      </c>
      <c r="S76" s="849">
        <v>2028</v>
      </c>
      <c r="T76" s="5"/>
      <c r="U76" s="5"/>
      <c r="V76" s="5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</row>
    <row r="77" spans="1:119" ht="15" customHeight="1" x14ac:dyDescent="0.25">
      <c r="A77" s="1155" t="s">
        <v>63</v>
      </c>
      <c r="B77" s="1156"/>
      <c r="C77" s="1156"/>
      <c r="D77" s="1156"/>
      <c r="E77" s="1156"/>
      <c r="F77" s="1156"/>
      <c r="G77" s="1156"/>
      <c r="H77" s="1156"/>
      <c r="I77" s="1156"/>
      <c r="J77" s="1156"/>
      <c r="K77" s="1156"/>
      <c r="L77" s="1156"/>
      <c r="M77" s="1156"/>
      <c r="N77" s="1156"/>
      <c r="O77" s="1156"/>
      <c r="P77" s="1157"/>
      <c r="Q77" s="847"/>
      <c r="R77" s="847"/>
    </row>
    <row r="78" spans="1:119" ht="15" customHeight="1" x14ac:dyDescent="0.25">
      <c r="A78" s="1130" t="s">
        <v>302</v>
      </c>
      <c r="B78" s="1131"/>
      <c r="C78" s="1131"/>
      <c r="D78" s="1131"/>
      <c r="E78" s="1131"/>
      <c r="F78" s="1131"/>
      <c r="G78" s="1131"/>
      <c r="H78" s="1131"/>
      <c r="I78" s="1131"/>
      <c r="J78" s="1131"/>
      <c r="K78" s="1131"/>
      <c r="L78" s="1131"/>
      <c r="M78" s="1131"/>
      <c r="N78" s="1131"/>
      <c r="O78" s="1131"/>
      <c r="P78" s="1132"/>
      <c r="Q78" s="847"/>
      <c r="R78" s="847"/>
      <c r="S78" s="4"/>
      <c r="T78" s="4"/>
      <c r="U78" s="4"/>
      <c r="V78" s="4"/>
    </row>
    <row r="79" spans="1:119" ht="15" customHeight="1" x14ac:dyDescent="0.25">
      <c r="A79" s="1150" t="s">
        <v>510</v>
      </c>
      <c r="B79" s="1152" t="s">
        <v>9</v>
      </c>
      <c r="C79" s="1154" t="s">
        <v>10</v>
      </c>
      <c r="D79" s="328">
        <v>1.3</v>
      </c>
      <c r="E79" s="328">
        <v>1.76</v>
      </c>
      <c r="F79" s="328">
        <v>8.5</v>
      </c>
      <c r="G79" s="328">
        <v>7</v>
      </c>
      <c r="H79" s="328">
        <f>ROUND(((T79/S79)/G79),0)</f>
        <v>12</v>
      </c>
      <c r="I79" s="328">
        <v>120</v>
      </c>
      <c r="J79" s="328">
        <v>1.4</v>
      </c>
      <c r="K79" s="328">
        <v>0.1</v>
      </c>
      <c r="L79" s="328">
        <v>1.25</v>
      </c>
      <c r="M79" s="29" t="s">
        <v>1035</v>
      </c>
      <c r="N79" s="29">
        <v>2908</v>
      </c>
      <c r="O79" s="328">
        <f>ROUND(((D79*E79*F79*J79*K79/(I79*L79))),4)</f>
        <v>1.8200000000000001E-2</v>
      </c>
      <c r="P79" s="328">
        <f>ROUND(((D79*3.6*E79*F79*G79*H79*J79*K79/(1000*I79*L79))),4)</f>
        <v>5.4999999999999997E-3</v>
      </c>
      <c r="Q79" s="569"/>
      <c r="R79" s="569"/>
      <c r="S79" s="5">
        <v>20</v>
      </c>
      <c r="T79" s="5">
        <f>4070.4*0.4</f>
        <v>1628.16</v>
      </c>
      <c r="U79" s="5"/>
      <c r="V79" s="5"/>
    </row>
    <row r="80" spans="1:119" ht="15" customHeight="1" x14ac:dyDescent="0.25">
      <c r="A80" s="1151"/>
      <c r="B80" s="1153"/>
      <c r="C80" s="1153"/>
      <c r="D80" s="328">
        <v>1.3</v>
      </c>
      <c r="E80" s="328">
        <v>1.76</v>
      </c>
      <c r="F80" s="328">
        <v>16.600000000000001</v>
      </c>
      <c r="G80" s="328">
        <v>7</v>
      </c>
      <c r="H80" s="328">
        <f>ROUND(((T80/S80)/G80),0)</f>
        <v>17</v>
      </c>
      <c r="I80" s="328">
        <v>55</v>
      </c>
      <c r="J80" s="328">
        <v>1.4</v>
      </c>
      <c r="K80" s="328">
        <v>0.1</v>
      </c>
      <c r="L80" s="328">
        <v>1.25</v>
      </c>
      <c r="M80" s="29" t="s">
        <v>1035</v>
      </c>
      <c r="N80" s="29">
        <v>2908</v>
      </c>
      <c r="O80" s="328">
        <f>ROUND(((D80*E80*F80*J80*K80/(I80*L80))),4)</f>
        <v>7.7299999999999994E-2</v>
      </c>
      <c r="P80" s="328">
        <f>ROUND(((D80*3.6*E80*F80*G80*H80*J80*K80/(1000*I80*L80))),4)</f>
        <v>3.3099999999999997E-2</v>
      </c>
      <c r="Q80" s="569"/>
      <c r="R80" s="569"/>
      <c r="S80" s="5">
        <v>20</v>
      </c>
      <c r="T80" s="5">
        <f>4070.4*0.6</f>
        <v>2442.2399999999998</v>
      </c>
      <c r="U80" s="5"/>
      <c r="V80" s="5"/>
    </row>
    <row r="81" spans="1:22" ht="15" customHeight="1" x14ac:dyDescent="0.25">
      <c r="A81" s="1136" t="s">
        <v>511</v>
      </c>
      <c r="B81" s="1137"/>
      <c r="C81" s="1137"/>
      <c r="D81" s="1137"/>
      <c r="E81" s="1137"/>
      <c r="F81" s="1137"/>
      <c r="G81" s="1137"/>
      <c r="H81" s="1137"/>
      <c r="I81" s="1137"/>
      <c r="J81" s="1137"/>
      <c r="K81" s="1137"/>
      <c r="L81" s="1138"/>
      <c r="M81" s="329" t="s">
        <v>1036</v>
      </c>
      <c r="N81" s="329">
        <v>2908</v>
      </c>
      <c r="O81" s="567">
        <f>O79+O80</f>
        <v>9.5500000000000002E-2</v>
      </c>
      <c r="P81" s="567">
        <f>P79+P80</f>
        <v>3.8599999999999995E-2</v>
      </c>
      <c r="Q81" s="849">
        <f>O81</f>
        <v>9.5500000000000002E-2</v>
      </c>
      <c r="R81" s="849">
        <f>P81</f>
        <v>3.8599999999999995E-2</v>
      </c>
      <c r="S81" s="849">
        <v>2029</v>
      </c>
      <c r="T81" s="5"/>
      <c r="U81" s="5"/>
      <c r="V81" s="5"/>
    </row>
  </sheetData>
  <mergeCells count="77">
    <mergeCell ref="A21:O21"/>
    <mergeCell ref="A13:O13"/>
    <mergeCell ref="A14:O14"/>
    <mergeCell ref="A15:O15"/>
    <mergeCell ref="A17:P17"/>
    <mergeCell ref="A19:O19"/>
    <mergeCell ref="A8:O8"/>
    <mergeCell ref="A9:O9"/>
    <mergeCell ref="A10:O10"/>
    <mergeCell ref="A11:O11"/>
    <mergeCell ref="A12:O12"/>
    <mergeCell ref="A3:O3"/>
    <mergeCell ref="A4:O4"/>
    <mergeCell ref="A6:P6"/>
    <mergeCell ref="A7:O7"/>
    <mergeCell ref="A1:P1"/>
    <mergeCell ref="A50:L50"/>
    <mergeCell ref="A67:L67"/>
    <mergeCell ref="A38:L38"/>
    <mergeCell ref="A59:P59"/>
    <mergeCell ref="A73:P73"/>
    <mergeCell ref="A39:P39"/>
    <mergeCell ref="A40:A41"/>
    <mergeCell ref="A47:P47"/>
    <mergeCell ref="A48:A49"/>
    <mergeCell ref="B40:B41"/>
    <mergeCell ref="C40:C41"/>
    <mergeCell ref="A42:L42"/>
    <mergeCell ref="A43:P43"/>
    <mergeCell ref="A44:A45"/>
    <mergeCell ref="B44:B45"/>
    <mergeCell ref="C44:C45"/>
    <mergeCell ref="A74:A75"/>
    <mergeCell ref="B74:B75"/>
    <mergeCell ref="C74:C75"/>
    <mergeCell ref="A76:L76"/>
    <mergeCell ref="A81:L81"/>
    <mergeCell ref="A77:P77"/>
    <mergeCell ref="A78:P78"/>
    <mergeCell ref="A79:A80"/>
    <mergeCell ref="B79:B80"/>
    <mergeCell ref="C79:C80"/>
    <mergeCell ref="A30:P30"/>
    <mergeCell ref="A34:P34"/>
    <mergeCell ref="A35:P35"/>
    <mergeCell ref="A36:A37"/>
    <mergeCell ref="B36:B37"/>
    <mergeCell ref="C36:C37"/>
    <mergeCell ref="A33:P33"/>
    <mergeCell ref="A46:L46"/>
    <mergeCell ref="B48:B49"/>
    <mergeCell ref="C48:C49"/>
    <mergeCell ref="A72:L72"/>
    <mergeCell ref="A68:P68"/>
    <mergeCell ref="A69:P69"/>
    <mergeCell ref="A70:A71"/>
    <mergeCell ref="B70:B71"/>
    <mergeCell ref="C70:C71"/>
    <mergeCell ref="A65:A66"/>
    <mergeCell ref="B65:B66"/>
    <mergeCell ref="C65:C66"/>
    <mergeCell ref="A51:P51"/>
    <mergeCell ref="A52:A53"/>
    <mergeCell ref="B52:B53"/>
    <mergeCell ref="C52:C53"/>
    <mergeCell ref="A64:P64"/>
    <mergeCell ref="A60:P60"/>
    <mergeCell ref="A54:L54"/>
    <mergeCell ref="A63:L63"/>
    <mergeCell ref="A61:A62"/>
    <mergeCell ref="B61:B62"/>
    <mergeCell ref="C61:C62"/>
    <mergeCell ref="A55:P55"/>
    <mergeCell ref="A56:A57"/>
    <mergeCell ref="B56:B57"/>
    <mergeCell ref="C56:C57"/>
    <mergeCell ref="A58:L58"/>
  </mergeCells>
  <pageMargins left="0.31496062992125984" right="0.31496062992125984" top="0.74803149606299213" bottom="0.55118110236220474" header="0.31496062992125984" footer="0.31496062992125984"/>
  <pageSetup paperSize="9" firstPageNumber="10" orientation="landscape" useFirstPageNumber="1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19673-AE47-42E0-B082-F92358A1024E}">
  <sheetPr>
    <tabColor theme="0"/>
  </sheetPr>
  <dimension ref="A1:OW128"/>
  <sheetViews>
    <sheetView view="pageBreakPreview" topLeftCell="B109" zoomScaleNormal="100" zoomScaleSheetLayoutView="100" workbookViewId="0">
      <selection activeCell="B122" sqref="B122:B123"/>
    </sheetView>
  </sheetViews>
  <sheetFormatPr defaultRowHeight="15" x14ac:dyDescent="0.25"/>
  <cols>
    <col min="1" max="1" width="6.140625" customWidth="1"/>
    <col min="2" max="2" width="20.42578125" customWidth="1"/>
    <col min="3" max="3" width="12.5703125" customWidth="1"/>
    <col min="4" max="4" width="5.140625" customWidth="1"/>
    <col min="5" max="6" width="4.5703125" customWidth="1"/>
    <col min="7" max="7" width="4.42578125" customWidth="1"/>
    <col min="8" max="9" width="4.140625" customWidth="1"/>
    <col min="10" max="10" width="4.5703125" customWidth="1"/>
    <col min="11" max="11" width="5.140625" customWidth="1"/>
    <col min="12" max="12" width="4" customWidth="1"/>
    <col min="13" max="13" width="30" customWidth="1"/>
    <col min="14" max="14" width="7.140625" customWidth="1"/>
    <col min="15" max="16" width="11.140625" bestFit="1" customWidth="1"/>
    <col min="17" max="18" width="11.140625" style="3" bestFit="1" customWidth="1"/>
    <col min="19" max="19" width="7.28515625" style="3" customWidth="1"/>
    <col min="20" max="20" width="9.28515625" style="3" bestFit="1" customWidth="1"/>
    <col min="22" max="22" width="9.28515625" bestFit="1" customWidth="1"/>
  </cols>
  <sheetData>
    <row r="1" spans="1:20" s="52" customFormat="1" ht="18.75" x14ac:dyDescent="0.25">
      <c r="A1" s="1177" t="s">
        <v>1002</v>
      </c>
      <c r="B1" s="1177"/>
      <c r="C1" s="1177"/>
      <c r="D1" s="1177"/>
      <c r="E1" s="1177"/>
      <c r="F1" s="1177"/>
      <c r="G1" s="1177"/>
      <c r="H1" s="1177"/>
      <c r="I1" s="1177"/>
      <c r="J1" s="1177"/>
      <c r="K1" s="1177"/>
      <c r="L1" s="1177"/>
      <c r="M1" s="1177"/>
      <c r="N1" s="1177"/>
      <c r="O1" s="1177"/>
      <c r="Q1" s="842"/>
      <c r="R1" s="842"/>
      <c r="S1" s="842"/>
      <c r="T1" s="842"/>
    </row>
    <row r="2" spans="1:20" s="52" customFormat="1" ht="9.75" customHeight="1" x14ac:dyDescent="0.25">
      <c r="A2" s="180"/>
      <c r="Q2" s="842"/>
      <c r="R2" s="842"/>
      <c r="S2" s="842"/>
      <c r="T2" s="842"/>
    </row>
    <row r="3" spans="1:20" s="55" customFormat="1" ht="15.75" x14ac:dyDescent="0.25">
      <c r="A3" s="1170" t="s">
        <v>611</v>
      </c>
      <c r="B3" s="1170"/>
      <c r="C3" s="1170"/>
      <c r="D3" s="1170"/>
      <c r="E3" s="1170"/>
      <c r="F3" s="1170"/>
      <c r="G3" s="1170"/>
      <c r="H3" s="1170"/>
      <c r="I3" s="1170"/>
      <c r="J3" s="1170"/>
      <c r="K3" s="1170"/>
      <c r="L3" s="1170"/>
      <c r="M3" s="1170"/>
      <c r="N3" s="1170"/>
      <c r="O3" s="1170"/>
      <c r="Q3" s="842"/>
      <c r="R3" s="842"/>
      <c r="S3" s="842"/>
      <c r="T3" s="842"/>
    </row>
    <row r="4" spans="1:20" s="55" customFormat="1" ht="15.75" x14ac:dyDescent="0.25">
      <c r="A4" s="1101" t="s">
        <v>612</v>
      </c>
      <c r="B4" s="1101"/>
      <c r="C4" s="1101"/>
      <c r="D4" s="1101"/>
      <c r="E4" s="1101"/>
      <c r="F4" s="1101"/>
      <c r="G4" s="1101"/>
      <c r="H4" s="1101"/>
      <c r="I4" s="1101"/>
      <c r="J4" s="1101"/>
      <c r="K4" s="1101"/>
      <c r="L4" s="1101"/>
      <c r="M4" s="1101"/>
      <c r="N4" s="1101"/>
      <c r="O4" s="1101"/>
      <c r="Q4" s="842"/>
      <c r="R4" s="842"/>
      <c r="S4" s="842"/>
      <c r="T4" s="842"/>
    </row>
    <row r="5" spans="1:20" s="190" customFormat="1" ht="15.75" x14ac:dyDescent="0.25">
      <c r="A5" s="214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55"/>
      <c r="Q5" s="858"/>
      <c r="R5" s="858"/>
      <c r="S5" s="858"/>
      <c r="T5" s="858"/>
    </row>
    <row r="6" spans="1:20" s="52" customFormat="1" ht="34.5" customHeight="1" x14ac:dyDescent="0.25">
      <c r="A6" s="1117" t="s">
        <v>1003</v>
      </c>
      <c r="B6" s="1117"/>
      <c r="C6" s="1117"/>
      <c r="D6" s="1117"/>
      <c r="E6" s="1117"/>
      <c r="F6" s="1117"/>
      <c r="G6" s="1117"/>
      <c r="H6" s="1117"/>
      <c r="I6" s="1117"/>
      <c r="J6" s="1117"/>
      <c r="K6" s="1117"/>
      <c r="L6" s="1117"/>
      <c r="M6" s="1117"/>
      <c r="N6" s="1117"/>
      <c r="O6" s="1117"/>
      <c r="P6" s="1117"/>
      <c r="Q6" s="842"/>
      <c r="R6" s="842"/>
      <c r="S6" s="842"/>
      <c r="T6" s="842"/>
    </row>
    <row r="7" spans="1:20" s="52" customFormat="1" ht="36" customHeight="1" x14ac:dyDescent="0.25">
      <c r="A7" s="1117" t="s">
        <v>942</v>
      </c>
      <c r="B7" s="1117"/>
      <c r="C7" s="1117"/>
      <c r="D7" s="1117"/>
      <c r="E7" s="1117"/>
      <c r="F7" s="1117"/>
      <c r="G7" s="1117"/>
      <c r="H7" s="1117"/>
      <c r="I7" s="1117"/>
      <c r="J7" s="1117"/>
      <c r="K7" s="1117"/>
      <c r="L7" s="1117"/>
      <c r="M7" s="1117"/>
      <c r="N7" s="1117"/>
      <c r="O7" s="1117"/>
      <c r="P7" s="1117"/>
      <c r="Q7" s="840"/>
      <c r="R7" s="840"/>
      <c r="S7" s="842"/>
      <c r="T7" s="842"/>
    </row>
    <row r="8" spans="1:20" s="191" customFormat="1" ht="21" customHeight="1" x14ac:dyDescent="0.25">
      <c r="A8" s="1116" t="s">
        <v>1004</v>
      </c>
      <c r="B8" s="1116"/>
      <c r="C8" s="1116"/>
      <c r="D8" s="1116"/>
      <c r="E8" s="1116"/>
      <c r="F8" s="1116"/>
      <c r="G8" s="1116"/>
      <c r="H8" s="1116"/>
      <c r="I8" s="1116"/>
      <c r="J8" s="1116"/>
      <c r="K8" s="1116"/>
      <c r="L8" s="1116"/>
      <c r="M8" s="1116"/>
      <c r="N8" s="1116"/>
      <c r="O8" s="1116"/>
      <c r="P8" s="52"/>
      <c r="Q8" s="858"/>
      <c r="R8" s="858"/>
      <c r="S8" s="858"/>
      <c r="T8" s="858"/>
    </row>
    <row r="9" spans="1:20" s="191" customFormat="1" ht="23.25" customHeight="1" x14ac:dyDescent="0.25">
      <c r="A9" s="1116" t="s">
        <v>1005</v>
      </c>
      <c r="B9" s="1116"/>
      <c r="C9" s="1116"/>
      <c r="D9" s="1116"/>
      <c r="E9" s="1116"/>
      <c r="F9" s="1116"/>
      <c r="G9" s="1116"/>
      <c r="H9" s="1116"/>
      <c r="I9" s="1116"/>
      <c r="J9" s="1116"/>
      <c r="K9" s="1116"/>
      <c r="L9" s="1116"/>
      <c r="M9" s="1116"/>
      <c r="N9" s="1116"/>
      <c r="O9" s="1116"/>
      <c r="P9" s="52"/>
      <c r="Q9" s="858"/>
      <c r="R9" s="858"/>
      <c r="S9" s="858"/>
      <c r="T9" s="858"/>
    </row>
    <row r="10" spans="1:20" s="52" customFormat="1" ht="15.75" x14ac:dyDescent="0.25">
      <c r="A10" s="1101" t="s">
        <v>614</v>
      </c>
      <c r="B10" s="1101"/>
      <c r="C10" s="1101"/>
      <c r="D10" s="1101"/>
      <c r="E10" s="1101"/>
      <c r="F10" s="1101"/>
      <c r="G10" s="1101"/>
      <c r="H10" s="1101"/>
      <c r="I10" s="1101"/>
      <c r="J10" s="1101"/>
      <c r="K10" s="1101"/>
      <c r="L10" s="1101"/>
      <c r="M10" s="1101"/>
      <c r="N10" s="1101"/>
      <c r="O10" s="1101"/>
      <c r="Q10" s="842"/>
      <c r="R10" s="842"/>
      <c r="S10" s="842"/>
      <c r="T10" s="842"/>
    </row>
    <row r="11" spans="1:20" s="52" customFormat="1" ht="24.75" customHeight="1" x14ac:dyDescent="0.25">
      <c r="A11" s="1101" t="s">
        <v>1006</v>
      </c>
      <c r="B11" s="1101"/>
      <c r="C11" s="1101"/>
      <c r="D11" s="1101"/>
      <c r="E11" s="1101"/>
      <c r="F11" s="1101"/>
      <c r="G11" s="1101"/>
      <c r="H11" s="1101"/>
      <c r="I11" s="1101"/>
      <c r="J11" s="1101"/>
      <c r="K11" s="1101"/>
      <c r="L11" s="1101"/>
      <c r="M11" s="1101"/>
      <c r="N11" s="1101"/>
      <c r="O11" s="1101"/>
      <c r="Q11" s="842"/>
      <c r="R11" s="842"/>
      <c r="S11" s="842"/>
      <c r="T11" s="842"/>
    </row>
    <row r="12" spans="1:20" s="52" customFormat="1" ht="15.75" x14ac:dyDescent="0.25">
      <c r="A12" s="1101" t="s">
        <v>1007</v>
      </c>
      <c r="B12" s="1101"/>
      <c r="C12" s="1101"/>
      <c r="D12" s="1101"/>
      <c r="E12" s="1101"/>
      <c r="F12" s="1101"/>
      <c r="G12" s="1101"/>
      <c r="H12" s="1101"/>
      <c r="I12" s="1101"/>
      <c r="J12" s="1101"/>
      <c r="K12" s="1101"/>
      <c r="L12" s="1101"/>
      <c r="M12" s="1101"/>
      <c r="N12" s="1101"/>
      <c r="O12" s="1101"/>
      <c r="Q12" s="842"/>
      <c r="R12" s="842"/>
      <c r="S12" s="842"/>
      <c r="T12" s="842"/>
    </row>
    <row r="13" spans="1:20" s="52" customFormat="1" ht="15.75" x14ac:dyDescent="0.25">
      <c r="A13" s="1101" t="s">
        <v>1008</v>
      </c>
      <c r="B13" s="1101"/>
      <c r="C13" s="1101"/>
      <c r="D13" s="1101"/>
      <c r="E13" s="1101"/>
      <c r="F13" s="1101"/>
      <c r="G13" s="1101"/>
      <c r="H13" s="1101"/>
      <c r="I13" s="1101"/>
      <c r="J13" s="1101"/>
      <c r="K13" s="1101"/>
      <c r="L13" s="1101"/>
      <c r="M13" s="1101"/>
      <c r="N13" s="1101"/>
      <c r="O13" s="1101"/>
      <c r="Q13" s="842"/>
      <c r="R13" s="842"/>
      <c r="S13" s="842"/>
      <c r="T13" s="842"/>
    </row>
    <row r="14" spans="1:20" s="52" customFormat="1" ht="15.75" x14ac:dyDescent="0.25">
      <c r="A14" s="1101" t="s">
        <v>1009</v>
      </c>
      <c r="B14" s="1101"/>
      <c r="C14" s="1101"/>
      <c r="D14" s="1101"/>
      <c r="E14" s="1101"/>
      <c r="F14" s="1101"/>
      <c r="G14" s="1101"/>
      <c r="H14" s="1101"/>
      <c r="I14" s="1101"/>
      <c r="J14" s="1101"/>
      <c r="K14" s="1101"/>
      <c r="L14" s="1101"/>
      <c r="M14" s="1101"/>
      <c r="N14" s="1101"/>
      <c r="O14" s="1101"/>
      <c r="Q14" s="842"/>
      <c r="R14" s="842"/>
      <c r="S14" s="842"/>
      <c r="T14" s="842"/>
    </row>
    <row r="15" spans="1:20" s="52" customFormat="1" ht="15.75" x14ac:dyDescent="0.25">
      <c r="A15" s="1101" t="s">
        <v>1010</v>
      </c>
      <c r="B15" s="1101"/>
      <c r="C15" s="1101"/>
      <c r="D15" s="1101"/>
      <c r="E15" s="1101"/>
      <c r="F15" s="1101"/>
      <c r="G15" s="1101"/>
      <c r="H15" s="1101"/>
      <c r="I15" s="1101"/>
      <c r="J15" s="1101"/>
      <c r="K15" s="1101"/>
      <c r="L15" s="1101"/>
      <c r="M15" s="1101"/>
      <c r="N15" s="1101"/>
      <c r="O15" s="1101"/>
      <c r="Q15" s="842"/>
      <c r="R15" s="842"/>
      <c r="S15" s="842"/>
      <c r="T15" s="842"/>
    </row>
    <row r="16" spans="1:20" s="52" customFormat="1" ht="15.75" x14ac:dyDescent="0.25">
      <c r="A16" s="1101" t="s">
        <v>1011</v>
      </c>
      <c r="B16" s="1101"/>
      <c r="C16" s="1101"/>
      <c r="D16" s="1101"/>
      <c r="E16" s="1101"/>
      <c r="F16" s="1101"/>
      <c r="G16" s="1101"/>
      <c r="H16" s="1101"/>
      <c r="I16" s="1101"/>
      <c r="J16" s="1101"/>
      <c r="K16" s="1101"/>
      <c r="L16" s="1101"/>
      <c r="M16" s="1101"/>
      <c r="N16" s="1101"/>
      <c r="O16" s="1101"/>
      <c r="Q16" s="842"/>
      <c r="R16" s="842"/>
      <c r="S16" s="842"/>
      <c r="T16" s="842"/>
    </row>
    <row r="17" spans="1:22" s="52" customFormat="1" ht="15.75" x14ac:dyDescent="0.25">
      <c r="A17" s="1101" t="s">
        <v>1012</v>
      </c>
      <c r="B17" s="1101"/>
      <c r="C17" s="1101"/>
      <c r="D17" s="1101"/>
      <c r="E17" s="1101"/>
      <c r="F17" s="1101"/>
      <c r="G17" s="1101"/>
      <c r="H17" s="1101"/>
      <c r="I17" s="1101"/>
      <c r="J17" s="1101"/>
      <c r="K17" s="1101"/>
      <c r="L17" s="1101"/>
      <c r="M17" s="1101"/>
      <c r="N17" s="1101"/>
      <c r="O17" s="1101"/>
      <c r="Q17" s="842"/>
      <c r="R17" s="842"/>
      <c r="S17" s="842"/>
      <c r="T17" s="842"/>
    </row>
    <row r="18" spans="1:22" s="52" customFormat="1" ht="15.75" x14ac:dyDescent="0.25">
      <c r="A18" s="1101" t="s">
        <v>1013</v>
      </c>
      <c r="B18" s="1101"/>
      <c r="C18" s="1101"/>
      <c r="D18" s="1101"/>
      <c r="E18" s="1101"/>
      <c r="F18" s="1101"/>
      <c r="G18" s="1101"/>
      <c r="H18" s="1101"/>
      <c r="I18" s="1101"/>
      <c r="J18" s="1101"/>
      <c r="K18" s="1101"/>
      <c r="L18" s="1101"/>
      <c r="M18" s="1101"/>
      <c r="N18" s="1101"/>
      <c r="O18" s="1101"/>
      <c r="Q18" s="842"/>
      <c r="R18" s="842"/>
      <c r="S18" s="842"/>
      <c r="T18" s="842"/>
    </row>
    <row r="19" spans="1:22" s="52" customFormat="1" ht="6.75" customHeight="1" x14ac:dyDescent="0.25">
      <c r="A19" s="180"/>
      <c r="Q19" s="842"/>
      <c r="R19" s="842"/>
      <c r="S19" s="842"/>
      <c r="T19" s="842"/>
    </row>
    <row r="20" spans="1:22" s="52" customFormat="1" ht="18.75" x14ac:dyDescent="0.25">
      <c r="A20" s="1117" t="s">
        <v>739</v>
      </c>
      <c r="B20" s="1117"/>
      <c r="C20" s="1117"/>
      <c r="D20" s="1117"/>
      <c r="E20" s="1117"/>
      <c r="F20" s="1117"/>
      <c r="G20" s="1117"/>
      <c r="H20" s="1117"/>
      <c r="I20" s="1117"/>
      <c r="J20" s="1117"/>
      <c r="K20" s="1117"/>
      <c r="L20" s="1117"/>
      <c r="M20" s="1117"/>
      <c r="N20" s="1117"/>
      <c r="O20" s="1117"/>
      <c r="Q20" s="842"/>
      <c r="R20" s="842"/>
      <c r="S20" s="842"/>
      <c r="T20" s="842"/>
    </row>
    <row r="21" spans="1:22" ht="22.5" customHeight="1" x14ac:dyDescent="0.25">
      <c r="A21" s="1158" t="s">
        <v>1206</v>
      </c>
      <c r="B21" s="1158"/>
      <c r="C21" s="1158"/>
      <c r="D21" s="1158"/>
      <c r="E21" s="1158"/>
      <c r="F21" s="1158"/>
      <c r="G21" s="1158"/>
      <c r="H21" s="1158"/>
      <c r="I21" s="1158"/>
      <c r="J21" s="1158"/>
      <c r="K21" s="1158"/>
      <c r="L21" s="1158"/>
      <c r="M21" s="1158"/>
      <c r="N21" s="1158"/>
      <c r="O21" s="1158"/>
      <c r="P21" s="1158"/>
      <c r="Q21" s="602"/>
      <c r="R21" s="602"/>
    </row>
    <row r="22" spans="1:22" ht="25.5" x14ac:dyDescent="0.25">
      <c r="A22" s="193" t="s">
        <v>0</v>
      </c>
      <c r="B22" s="193" t="s">
        <v>1</v>
      </c>
      <c r="C22" s="193" t="s">
        <v>2</v>
      </c>
      <c r="D22" s="193" t="s">
        <v>947</v>
      </c>
      <c r="E22" s="195" t="s">
        <v>12</v>
      </c>
      <c r="F22" s="193" t="s">
        <v>13</v>
      </c>
      <c r="G22" s="193" t="s">
        <v>944</v>
      </c>
      <c r="H22" s="193" t="s">
        <v>945</v>
      </c>
      <c r="I22" s="193" t="s">
        <v>946</v>
      </c>
      <c r="J22" s="193" t="s">
        <v>935</v>
      </c>
      <c r="K22" s="193" t="s">
        <v>936</v>
      </c>
      <c r="L22" s="193" t="s">
        <v>14</v>
      </c>
      <c r="M22" s="193" t="s">
        <v>3</v>
      </c>
      <c r="N22" s="193" t="s">
        <v>4</v>
      </c>
      <c r="O22" s="193" t="s">
        <v>938</v>
      </c>
      <c r="P22" s="193" t="s">
        <v>939</v>
      </c>
      <c r="Q22" s="850"/>
      <c r="R22" s="850"/>
    </row>
    <row r="23" spans="1:22" ht="15" customHeight="1" x14ac:dyDescent="0.25">
      <c r="A23" s="193">
        <v>1</v>
      </c>
      <c r="B23" s="193">
        <v>2</v>
      </c>
      <c r="C23" s="193">
        <v>3</v>
      </c>
      <c r="D23" s="193">
        <v>4</v>
      </c>
      <c r="E23" s="193">
        <v>5</v>
      </c>
      <c r="F23" s="193">
        <v>6</v>
      </c>
      <c r="G23" s="193">
        <v>7</v>
      </c>
      <c r="H23" s="193">
        <v>8</v>
      </c>
      <c r="I23" s="193">
        <v>9</v>
      </c>
      <c r="J23" s="193">
        <v>10</v>
      </c>
      <c r="K23" s="193">
        <v>11</v>
      </c>
      <c r="L23" s="193"/>
      <c r="M23" s="193">
        <v>18</v>
      </c>
      <c r="N23" s="193">
        <v>19</v>
      </c>
      <c r="O23" s="193">
        <v>20</v>
      </c>
      <c r="P23" s="193">
        <v>21</v>
      </c>
      <c r="Q23" s="850"/>
      <c r="R23" s="850"/>
    </row>
    <row r="24" spans="1:22" ht="15" customHeight="1" x14ac:dyDescent="0.25">
      <c r="A24" s="1174" t="s">
        <v>61</v>
      </c>
      <c r="B24" s="1175"/>
      <c r="C24" s="1175"/>
      <c r="D24" s="1175"/>
      <c r="E24" s="1175"/>
      <c r="F24" s="1175"/>
      <c r="G24" s="1175"/>
      <c r="H24" s="1175"/>
      <c r="I24" s="1175"/>
      <c r="J24" s="1175"/>
      <c r="K24" s="1175"/>
      <c r="L24" s="1175"/>
      <c r="M24" s="1175"/>
      <c r="N24" s="1175"/>
      <c r="O24" s="1175"/>
      <c r="P24" s="1176"/>
      <c r="Q24" s="859"/>
      <c r="R24" s="859"/>
    </row>
    <row r="25" spans="1:22" ht="15" customHeight="1" x14ac:dyDescent="0.25">
      <c r="A25" s="1171" t="s">
        <v>5</v>
      </c>
      <c r="B25" s="1172"/>
      <c r="C25" s="1172"/>
      <c r="D25" s="1172"/>
      <c r="E25" s="1172"/>
      <c r="F25" s="1172"/>
      <c r="G25" s="1172"/>
      <c r="H25" s="1172"/>
      <c r="I25" s="1172"/>
      <c r="J25" s="1172"/>
      <c r="K25" s="1172"/>
      <c r="L25" s="1172"/>
      <c r="M25" s="1172"/>
      <c r="N25" s="1172"/>
      <c r="O25" s="1172"/>
      <c r="P25" s="1173"/>
      <c r="Q25" s="845"/>
      <c r="R25" s="845"/>
    </row>
    <row r="26" spans="1:22" ht="15" customHeight="1" x14ac:dyDescent="0.25">
      <c r="A26" s="1171" t="s">
        <v>8</v>
      </c>
      <c r="B26" s="1172"/>
      <c r="C26" s="1172"/>
      <c r="D26" s="1172"/>
      <c r="E26" s="1172"/>
      <c r="F26" s="1172"/>
      <c r="G26" s="1172"/>
      <c r="H26" s="1172"/>
      <c r="I26" s="1172"/>
      <c r="J26" s="1172"/>
      <c r="K26" s="1172"/>
      <c r="L26" s="1172"/>
      <c r="M26" s="1172"/>
      <c r="N26" s="1172"/>
      <c r="O26" s="1172"/>
      <c r="P26" s="1173"/>
      <c r="Q26" s="845"/>
      <c r="R26" s="845"/>
      <c r="S26" s="3" t="s">
        <v>15</v>
      </c>
      <c r="T26" s="3" t="s">
        <v>7</v>
      </c>
    </row>
    <row r="27" spans="1:22" ht="15" customHeight="1" x14ac:dyDescent="0.25">
      <c r="A27" s="1193" t="s">
        <v>309</v>
      </c>
      <c r="B27" s="1190" t="s">
        <v>18</v>
      </c>
      <c r="C27" s="1192" t="s">
        <v>10</v>
      </c>
      <c r="D27" s="7">
        <v>6.3</v>
      </c>
      <c r="E27" s="7">
        <v>1.76</v>
      </c>
      <c r="F27" s="7">
        <v>1</v>
      </c>
      <c r="G27" s="7">
        <v>0.84</v>
      </c>
      <c r="H27" s="7">
        <v>30</v>
      </c>
      <c r="I27" s="7">
        <f>ROUND((T27/S27),0)</f>
        <v>829</v>
      </c>
      <c r="J27" s="7">
        <v>1.4</v>
      </c>
      <c r="K27" s="7">
        <v>0.1</v>
      </c>
      <c r="L27" s="7">
        <v>0</v>
      </c>
      <c r="M27" s="8" t="s">
        <v>16</v>
      </c>
      <c r="N27" s="8">
        <v>2908</v>
      </c>
      <c r="O27" s="7">
        <f>ROUND((D27*E27*F27*G27*J27*K27/(1/3*H27)*(1-L27)),4)</f>
        <v>0.13039999999999999</v>
      </c>
      <c r="P27" s="7">
        <f>ROUND((((D27*(3.6*E27*F27*G27/H27)*I27*J27*K27)*(1-L27)/1000)),4)</f>
        <v>0.12970000000000001</v>
      </c>
      <c r="Q27" s="102"/>
      <c r="R27" s="102"/>
      <c r="S27" s="3">
        <v>25</v>
      </c>
      <c r="T27" s="3">
        <f>51814*0.4</f>
        <v>20725.600000000002</v>
      </c>
    </row>
    <row r="28" spans="1:22" ht="15" customHeight="1" x14ac:dyDescent="0.25">
      <c r="A28" s="1197"/>
      <c r="B28" s="1191"/>
      <c r="C28" s="1191"/>
      <c r="D28" s="7">
        <v>6.3</v>
      </c>
      <c r="E28" s="7">
        <v>1.76</v>
      </c>
      <c r="F28" s="7">
        <v>1.4</v>
      </c>
      <c r="G28" s="7">
        <v>0.84</v>
      </c>
      <c r="H28" s="7">
        <v>70</v>
      </c>
      <c r="I28" s="7">
        <f>ROUND((T28/S28),0)</f>
        <v>1244</v>
      </c>
      <c r="J28" s="7">
        <v>1.4</v>
      </c>
      <c r="K28" s="7">
        <v>0.1</v>
      </c>
      <c r="L28" s="7">
        <v>0</v>
      </c>
      <c r="M28" s="8" t="s">
        <v>16</v>
      </c>
      <c r="N28" s="8">
        <v>2908</v>
      </c>
      <c r="O28" s="7">
        <f>ROUND((D28*E28*F28*G28*J28*K28/(1/3*H28)*(1-L28)),4)</f>
        <v>7.8200000000000006E-2</v>
      </c>
      <c r="P28" s="7">
        <f>ROUND((((D28*(3.6*E28*F28*G28/H28)*I28*J28*K28)*(1-L28)/1000)),4)</f>
        <v>0.1168</v>
      </c>
      <c r="Q28" s="102"/>
      <c r="R28" s="102"/>
      <c r="S28" s="3">
        <v>25</v>
      </c>
      <c r="T28" s="3">
        <f>51814*0.6</f>
        <v>31088.399999999998</v>
      </c>
    </row>
    <row r="29" spans="1:22" s="147" customFormat="1" ht="15" customHeight="1" x14ac:dyDescent="0.25">
      <c r="A29" s="1136" t="s">
        <v>310</v>
      </c>
      <c r="B29" s="1188"/>
      <c r="C29" s="1188"/>
      <c r="D29" s="1188"/>
      <c r="E29" s="1188"/>
      <c r="F29" s="1188"/>
      <c r="G29" s="1188"/>
      <c r="H29" s="1188"/>
      <c r="I29" s="1188"/>
      <c r="J29" s="1188"/>
      <c r="K29" s="1188"/>
      <c r="L29" s="1189"/>
      <c r="M29" s="194" t="s">
        <v>16</v>
      </c>
      <c r="N29" s="194">
        <v>2908</v>
      </c>
      <c r="O29" s="571">
        <f>O27+O28</f>
        <v>0.20860000000000001</v>
      </c>
      <c r="P29" s="571">
        <f>P27+P28</f>
        <v>0.2465</v>
      </c>
      <c r="Q29" s="103"/>
      <c r="R29" s="103"/>
      <c r="S29" s="3"/>
      <c r="T29" s="3"/>
      <c r="U29"/>
      <c r="V29" s="851"/>
    </row>
    <row r="30" spans="1:22" ht="15" customHeight="1" x14ac:dyDescent="0.25">
      <c r="A30" s="1171" t="s">
        <v>204</v>
      </c>
      <c r="B30" s="1172"/>
      <c r="C30" s="1172"/>
      <c r="D30" s="1172"/>
      <c r="E30" s="1172"/>
      <c r="F30" s="1172"/>
      <c r="G30" s="1172"/>
      <c r="H30" s="1172"/>
      <c r="I30" s="1172"/>
      <c r="J30" s="1172"/>
      <c r="K30" s="1172"/>
      <c r="L30" s="1172"/>
      <c r="M30" s="1172"/>
      <c r="N30" s="1172"/>
      <c r="O30" s="1172"/>
      <c r="P30" s="1173"/>
      <c r="Q30" s="845"/>
      <c r="R30" s="845"/>
    </row>
    <row r="31" spans="1:22" ht="15" customHeight="1" x14ac:dyDescent="0.25">
      <c r="A31" s="1193" t="s">
        <v>381</v>
      </c>
      <c r="B31" s="1190" t="s">
        <v>323</v>
      </c>
      <c r="C31" s="1192" t="s">
        <v>207</v>
      </c>
      <c r="D31" s="7">
        <v>6.3</v>
      </c>
      <c r="E31" s="7">
        <v>1.97</v>
      </c>
      <c r="F31" s="7">
        <v>1</v>
      </c>
      <c r="G31" s="7">
        <v>0.7</v>
      </c>
      <c r="H31" s="7">
        <v>30</v>
      </c>
      <c r="I31" s="7">
        <f>ROUND((T31/S31),0)</f>
        <v>25</v>
      </c>
      <c r="J31" s="7">
        <v>1.4</v>
      </c>
      <c r="K31" s="7">
        <v>0.1</v>
      </c>
      <c r="L31" s="7">
        <v>0</v>
      </c>
      <c r="M31" s="8" t="s">
        <v>16</v>
      </c>
      <c r="N31" s="8">
        <v>2908</v>
      </c>
      <c r="O31" s="7">
        <f>ROUND((D31*E31*F31*G31*J31*K31/(1/3*H31)*(1-L31)),4)</f>
        <v>0.1216</v>
      </c>
      <c r="P31" s="7">
        <f>ROUND((((D31*(3.6*E31*F31*G31/H31)*I31*J31*K31)*(1-L31)/1000)),4)</f>
        <v>3.5999999999999999E-3</v>
      </c>
      <c r="Q31" s="102"/>
      <c r="R31" s="102"/>
      <c r="S31" s="3">
        <v>10</v>
      </c>
      <c r="T31" s="3">
        <f>629.8*0.4</f>
        <v>251.92</v>
      </c>
    </row>
    <row r="32" spans="1:22" ht="15" customHeight="1" x14ac:dyDescent="0.25">
      <c r="A32" s="1194"/>
      <c r="B32" s="1191"/>
      <c r="C32" s="1191"/>
      <c r="D32" s="7">
        <v>6.3</v>
      </c>
      <c r="E32" s="7">
        <v>1.97</v>
      </c>
      <c r="F32" s="7">
        <v>1.4</v>
      </c>
      <c r="G32" s="7">
        <v>0.7</v>
      </c>
      <c r="H32" s="7">
        <v>70</v>
      </c>
      <c r="I32" s="7">
        <f>ROUND((T32/S32),0)</f>
        <v>38</v>
      </c>
      <c r="J32" s="7">
        <v>1.4</v>
      </c>
      <c r="K32" s="7">
        <v>0.1</v>
      </c>
      <c r="L32" s="7">
        <v>0</v>
      </c>
      <c r="M32" s="8" t="s">
        <v>16</v>
      </c>
      <c r="N32" s="8">
        <v>2908</v>
      </c>
      <c r="O32" s="7">
        <f>ROUND((D32*E32*F32*G32*J32*K32/(1/3*H32)*(1-L32)),4)</f>
        <v>7.2999999999999995E-2</v>
      </c>
      <c r="P32" s="7">
        <f>ROUND((((D32*(3.6*E32*F32*G32/H32)*I32*J32*K32)*(1-L32)/1000)),4)</f>
        <v>3.3E-3</v>
      </c>
      <c r="Q32" s="102"/>
      <c r="R32" s="102"/>
      <c r="S32" s="3">
        <v>10</v>
      </c>
      <c r="T32" s="3">
        <f>629.8*0.6</f>
        <v>377.87999999999994</v>
      </c>
    </row>
    <row r="33" spans="1:24" s="147" customFormat="1" ht="15" customHeight="1" x14ac:dyDescent="0.25">
      <c r="A33" s="1136" t="s">
        <v>382</v>
      </c>
      <c r="B33" s="1188"/>
      <c r="C33" s="1188"/>
      <c r="D33" s="1188"/>
      <c r="E33" s="1188"/>
      <c r="F33" s="1188"/>
      <c r="G33" s="1188"/>
      <c r="H33" s="1188"/>
      <c r="I33" s="1188"/>
      <c r="J33" s="1188"/>
      <c r="K33" s="1188"/>
      <c r="L33" s="1189"/>
      <c r="M33" s="194" t="s">
        <v>16</v>
      </c>
      <c r="N33" s="194">
        <v>2908</v>
      </c>
      <c r="O33" s="571">
        <f>O31+O32</f>
        <v>0.1946</v>
      </c>
      <c r="P33" s="571">
        <f>P31+P32</f>
        <v>6.8999999999999999E-3</v>
      </c>
      <c r="Q33" s="103"/>
      <c r="R33" s="103"/>
      <c r="S33" s="3"/>
      <c r="T33" s="3"/>
      <c r="U33"/>
      <c r="V33"/>
    </row>
    <row r="34" spans="1:24" ht="15" customHeight="1" x14ac:dyDescent="0.25">
      <c r="A34" s="1171" t="s">
        <v>210</v>
      </c>
      <c r="B34" s="1172"/>
      <c r="C34" s="1172"/>
      <c r="D34" s="1172"/>
      <c r="E34" s="1172"/>
      <c r="F34" s="1172"/>
      <c r="G34" s="1172"/>
      <c r="H34" s="1172"/>
      <c r="I34" s="1172"/>
      <c r="J34" s="1172"/>
      <c r="K34" s="1172"/>
      <c r="L34" s="1172"/>
      <c r="M34" s="1172"/>
      <c r="N34" s="1172"/>
      <c r="O34" s="1172"/>
      <c r="P34" s="1173"/>
      <c r="Q34" s="845"/>
      <c r="R34" s="845"/>
    </row>
    <row r="35" spans="1:24" ht="15" customHeight="1" x14ac:dyDescent="0.25">
      <c r="A35" s="1193" t="s">
        <v>387</v>
      </c>
      <c r="B35" s="1190" t="s">
        <v>323</v>
      </c>
      <c r="C35" s="1192" t="s">
        <v>207</v>
      </c>
      <c r="D35" s="7">
        <v>6.3</v>
      </c>
      <c r="E35" s="7">
        <v>1.97</v>
      </c>
      <c r="F35" s="7">
        <v>1</v>
      </c>
      <c r="G35" s="7">
        <v>0.7</v>
      </c>
      <c r="H35" s="7">
        <v>30</v>
      </c>
      <c r="I35" s="7">
        <f>ROUND((T35/S35),0)</f>
        <v>34</v>
      </c>
      <c r="J35" s="7">
        <v>1.4</v>
      </c>
      <c r="K35" s="7">
        <v>0.1</v>
      </c>
      <c r="L35" s="7">
        <v>0</v>
      </c>
      <c r="M35" s="8" t="s">
        <v>16</v>
      </c>
      <c r="N35" s="8">
        <v>2908</v>
      </c>
      <c r="O35" s="7">
        <f>ROUND((D35*E35*F35*G35*J35*K35/(1/3*H35)*(1-L35)),4)</f>
        <v>0.1216</v>
      </c>
      <c r="P35" s="7">
        <f>ROUND((((D35*(3.6*E35*F35*G35/H35)*I35*J35*K35)*(1-L35)/1000)),4)</f>
        <v>5.0000000000000001E-3</v>
      </c>
      <c r="Q35" s="102"/>
      <c r="R35" s="102"/>
      <c r="S35" s="3">
        <v>10</v>
      </c>
      <c r="T35" s="3">
        <f>856.2*0.4</f>
        <v>342.48</v>
      </c>
      <c r="W35" s="1"/>
    </row>
    <row r="36" spans="1:24" ht="15" customHeight="1" x14ac:dyDescent="0.25">
      <c r="A36" s="1194"/>
      <c r="B36" s="1191"/>
      <c r="C36" s="1191"/>
      <c r="D36" s="7">
        <v>6.3</v>
      </c>
      <c r="E36" s="7">
        <v>1.97</v>
      </c>
      <c r="F36" s="7">
        <v>1.4</v>
      </c>
      <c r="G36" s="7">
        <v>0.7</v>
      </c>
      <c r="H36" s="7">
        <v>70</v>
      </c>
      <c r="I36" s="7">
        <f>ROUND((T36/S36),0)</f>
        <v>51</v>
      </c>
      <c r="J36" s="7">
        <v>1.4</v>
      </c>
      <c r="K36" s="7">
        <v>0.1</v>
      </c>
      <c r="L36" s="7">
        <v>0</v>
      </c>
      <c r="M36" s="8" t="s">
        <v>16</v>
      </c>
      <c r="N36" s="8">
        <v>2908</v>
      </c>
      <c r="O36" s="7">
        <f>ROUND((D36*E36*F36*G36*J36*K36/(1/3*H36)*(1-L36)),4)</f>
        <v>7.2999999999999995E-2</v>
      </c>
      <c r="P36" s="7">
        <f>ROUND((((D36*(3.6*E36*F36*G36/H36)*I36*J36*K36)*(1-L36)/1000)),4)</f>
        <v>4.4999999999999997E-3</v>
      </c>
      <c r="Q36" s="102"/>
      <c r="R36" s="102"/>
      <c r="S36" s="3">
        <v>10</v>
      </c>
      <c r="T36" s="3">
        <f>856.2*0.6</f>
        <v>513.72</v>
      </c>
      <c r="W36" s="1"/>
    </row>
    <row r="37" spans="1:24" s="147" customFormat="1" ht="15" customHeight="1" x14ac:dyDescent="0.25">
      <c r="A37" s="1136" t="s">
        <v>388</v>
      </c>
      <c r="B37" s="1188"/>
      <c r="C37" s="1188"/>
      <c r="D37" s="1188"/>
      <c r="E37" s="1188"/>
      <c r="F37" s="1188"/>
      <c r="G37" s="1188"/>
      <c r="H37" s="1188"/>
      <c r="I37" s="1188"/>
      <c r="J37" s="1188"/>
      <c r="K37" s="1188"/>
      <c r="L37" s="1189"/>
      <c r="M37" s="194" t="s">
        <v>16</v>
      </c>
      <c r="N37" s="194">
        <v>2908</v>
      </c>
      <c r="O37" s="571">
        <f>O35+O36</f>
        <v>0.1946</v>
      </c>
      <c r="P37" s="571">
        <f>P35+P36</f>
        <v>9.4999999999999998E-3</v>
      </c>
      <c r="Q37" s="103"/>
      <c r="R37" s="103"/>
      <c r="S37" s="3"/>
      <c r="T37" s="3"/>
      <c r="U37"/>
      <c r="V37"/>
    </row>
    <row r="38" spans="1:24" ht="15" customHeight="1" x14ac:dyDescent="0.25">
      <c r="A38" s="1171" t="s">
        <v>213</v>
      </c>
      <c r="B38" s="1172"/>
      <c r="C38" s="1172"/>
      <c r="D38" s="1172"/>
      <c r="E38" s="1172"/>
      <c r="F38" s="1172"/>
      <c r="G38" s="1172"/>
      <c r="H38" s="1172"/>
      <c r="I38" s="1172"/>
      <c r="J38" s="1172"/>
      <c r="K38" s="1172"/>
      <c r="L38" s="1172"/>
      <c r="M38" s="1172"/>
      <c r="N38" s="1172"/>
      <c r="O38" s="1172"/>
      <c r="P38" s="1173"/>
      <c r="Q38" s="845"/>
      <c r="R38" s="845"/>
      <c r="W38" s="1"/>
    </row>
    <row r="39" spans="1:24" ht="15" customHeight="1" x14ac:dyDescent="0.25">
      <c r="A39" s="1193" t="s">
        <v>393</v>
      </c>
      <c r="B39" s="1190" t="s">
        <v>323</v>
      </c>
      <c r="C39" s="1192" t="s">
        <v>207</v>
      </c>
      <c r="D39" s="7">
        <v>6.3</v>
      </c>
      <c r="E39" s="7">
        <v>1.97</v>
      </c>
      <c r="F39" s="7">
        <v>1</v>
      </c>
      <c r="G39" s="7">
        <v>0.7</v>
      </c>
      <c r="H39" s="7">
        <v>30</v>
      </c>
      <c r="I39" s="7">
        <f>ROUND((T39/S39),0)</f>
        <v>114</v>
      </c>
      <c r="J39" s="7">
        <v>1.4</v>
      </c>
      <c r="K39" s="7">
        <v>0.1</v>
      </c>
      <c r="L39" s="7">
        <v>0</v>
      </c>
      <c r="M39" s="8" t="s">
        <v>16</v>
      </c>
      <c r="N39" s="8">
        <v>2908</v>
      </c>
      <c r="O39" s="7">
        <f>ROUND((D39*E39*F39*G39*J39*K39/(1/3*H39)*(1-L39)),4)</f>
        <v>0.1216</v>
      </c>
      <c r="P39" s="7">
        <f>ROUND((((D39*(3.6*E39*F39*G39/H39)*I39*J39*K39)*(1-L39)/1000)),4)</f>
        <v>1.66E-2</v>
      </c>
      <c r="Q39" s="102"/>
      <c r="R39" s="102"/>
      <c r="S39" s="3">
        <v>10</v>
      </c>
      <c r="T39" s="3">
        <f>2846.9*0.4</f>
        <v>1138.76</v>
      </c>
      <c r="W39" s="1"/>
    </row>
    <row r="40" spans="1:24" ht="15" customHeight="1" x14ac:dyDescent="0.25">
      <c r="A40" s="1194"/>
      <c r="B40" s="1191"/>
      <c r="C40" s="1191"/>
      <c r="D40" s="7">
        <v>6.3</v>
      </c>
      <c r="E40" s="7">
        <v>1.97</v>
      </c>
      <c r="F40" s="7">
        <v>1.4</v>
      </c>
      <c r="G40" s="7">
        <v>0.7</v>
      </c>
      <c r="H40" s="7">
        <v>70</v>
      </c>
      <c r="I40" s="7">
        <f>ROUND((T40/S40),0)</f>
        <v>171</v>
      </c>
      <c r="J40" s="7">
        <v>1.4</v>
      </c>
      <c r="K40" s="7">
        <v>0.1</v>
      </c>
      <c r="L40" s="7">
        <v>0</v>
      </c>
      <c r="M40" s="8" t="s">
        <v>16</v>
      </c>
      <c r="N40" s="8">
        <v>2908</v>
      </c>
      <c r="O40" s="7">
        <f>ROUND((D40*E40*F40*G40*J40*K40/(1/3*H40)*(1-L40)),4)</f>
        <v>7.2999999999999995E-2</v>
      </c>
      <c r="P40" s="7">
        <f>ROUND((((D40*(3.6*E40*F40*G40/H40)*I40*J40*K40)*(1-L40)/1000)),4)</f>
        <v>1.4999999999999999E-2</v>
      </c>
      <c r="Q40" s="102"/>
      <c r="R40" s="102"/>
      <c r="S40" s="3">
        <v>10</v>
      </c>
      <c r="T40" s="3">
        <f>2846.9*0.6</f>
        <v>1708.14</v>
      </c>
      <c r="W40" s="1"/>
    </row>
    <row r="41" spans="1:24" s="147" customFormat="1" ht="15" customHeight="1" x14ac:dyDescent="0.25">
      <c r="A41" s="1136" t="s">
        <v>394</v>
      </c>
      <c r="B41" s="1188"/>
      <c r="C41" s="1188"/>
      <c r="D41" s="1188"/>
      <c r="E41" s="1188"/>
      <c r="F41" s="1188"/>
      <c r="G41" s="1188"/>
      <c r="H41" s="1188"/>
      <c r="I41" s="1188"/>
      <c r="J41" s="1188"/>
      <c r="K41" s="1188"/>
      <c r="L41" s="1189"/>
      <c r="M41" s="194" t="s">
        <v>16</v>
      </c>
      <c r="N41" s="194">
        <v>2908</v>
      </c>
      <c r="O41" s="571">
        <f>O39+O40</f>
        <v>0.1946</v>
      </c>
      <c r="P41" s="571">
        <f>P39+P40</f>
        <v>3.1600000000000003E-2</v>
      </c>
      <c r="Q41" s="103"/>
      <c r="R41" s="103"/>
      <c r="S41" s="3"/>
      <c r="T41" s="3"/>
      <c r="U41"/>
      <c r="V41"/>
    </row>
    <row r="42" spans="1:24" ht="15" customHeight="1" x14ac:dyDescent="0.25">
      <c r="A42" s="1171" t="s">
        <v>215</v>
      </c>
      <c r="B42" s="1172"/>
      <c r="C42" s="1172"/>
      <c r="D42" s="1172"/>
      <c r="E42" s="1172"/>
      <c r="F42" s="1172"/>
      <c r="G42" s="1172"/>
      <c r="H42" s="1172"/>
      <c r="I42" s="1172"/>
      <c r="J42" s="1172"/>
      <c r="K42" s="1172"/>
      <c r="L42" s="1172"/>
      <c r="M42" s="1172"/>
      <c r="N42" s="1172"/>
      <c r="O42" s="1172"/>
      <c r="P42" s="1173"/>
      <c r="Q42" s="845"/>
      <c r="R42" s="845"/>
      <c r="W42" s="1"/>
    </row>
    <row r="43" spans="1:24" ht="15" customHeight="1" x14ac:dyDescent="0.25">
      <c r="A43" s="1193" t="s">
        <v>400</v>
      </c>
      <c r="B43" s="1190" t="s">
        <v>323</v>
      </c>
      <c r="C43" s="1192" t="s">
        <v>207</v>
      </c>
      <c r="D43" s="7">
        <v>6.3</v>
      </c>
      <c r="E43" s="7">
        <v>1.97</v>
      </c>
      <c r="F43" s="7">
        <v>1</v>
      </c>
      <c r="G43" s="7">
        <v>0.7</v>
      </c>
      <c r="H43" s="7">
        <v>30</v>
      </c>
      <c r="I43" s="7">
        <f>ROUND((T43/S43),0)</f>
        <v>499</v>
      </c>
      <c r="J43" s="7">
        <v>1.4</v>
      </c>
      <c r="K43" s="7">
        <v>0.1</v>
      </c>
      <c r="L43" s="7">
        <v>0</v>
      </c>
      <c r="M43" s="8" t="s">
        <v>16</v>
      </c>
      <c r="N43" s="8">
        <v>2908</v>
      </c>
      <c r="O43" s="7">
        <f>ROUND((D43*E43*F43*G43*J43*K43/(1/3*H43)*(1-L43)),4)</f>
        <v>0.1216</v>
      </c>
      <c r="P43" s="7">
        <f>ROUND((((D43*(3.6*E43*F43*G43/H43)*I43*J43*K43)*(1-L43)/1000)),4)</f>
        <v>7.2800000000000004E-2</v>
      </c>
      <c r="Q43" s="102"/>
      <c r="R43" s="102"/>
      <c r="S43" s="3">
        <v>20</v>
      </c>
      <c r="T43" s="3">
        <f>24933.8*0.4</f>
        <v>9973.52</v>
      </c>
      <c r="W43" s="1"/>
    </row>
    <row r="44" spans="1:24" ht="15" customHeight="1" x14ac:dyDescent="0.25">
      <c r="A44" s="1194"/>
      <c r="B44" s="1191"/>
      <c r="C44" s="1191"/>
      <c r="D44" s="7">
        <v>6.3</v>
      </c>
      <c r="E44" s="7">
        <v>1.97</v>
      </c>
      <c r="F44" s="7">
        <v>1.4</v>
      </c>
      <c r="G44" s="7">
        <v>0.7</v>
      </c>
      <c r="H44" s="7">
        <v>70</v>
      </c>
      <c r="I44" s="7">
        <f>ROUND((T44/S44),0)</f>
        <v>748</v>
      </c>
      <c r="J44" s="7">
        <v>1.4</v>
      </c>
      <c r="K44" s="7">
        <v>0.1</v>
      </c>
      <c r="L44" s="7">
        <v>0</v>
      </c>
      <c r="M44" s="8" t="s">
        <v>16</v>
      </c>
      <c r="N44" s="8">
        <v>2908</v>
      </c>
      <c r="O44" s="7">
        <f>ROUND((D44*E44*F44*G44*J44*K44/(1/3*H44)*(1-L44)),4)</f>
        <v>7.2999999999999995E-2</v>
      </c>
      <c r="P44" s="7">
        <f>ROUND((((D44*(3.6*E44*F44*G44/H44)*I44*J44*K44)*(1-L44)/1000)),4)</f>
        <v>6.5500000000000003E-2</v>
      </c>
      <c r="Q44" s="102"/>
      <c r="R44" s="102"/>
      <c r="S44" s="3">
        <v>20</v>
      </c>
      <c r="T44" s="3">
        <f>24933.8*0.6</f>
        <v>14960.279999999999</v>
      </c>
      <c r="W44" s="1"/>
    </row>
    <row r="45" spans="1:24" s="147" customFormat="1" ht="15" customHeight="1" x14ac:dyDescent="0.25">
      <c r="A45" s="1136" t="s">
        <v>401</v>
      </c>
      <c r="B45" s="1188"/>
      <c r="C45" s="1188"/>
      <c r="D45" s="1188"/>
      <c r="E45" s="1188"/>
      <c r="F45" s="1188"/>
      <c r="G45" s="1188"/>
      <c r="H45" s="1188"/>
      <c r="I45" s="1188"/>
      <c r="J45" s="1188"/>
      <c r="K45" s="1188"/>
      <c r="L45" s="1189"/>
      <c r="M45" s="194" t="s">
        <v>16</v>
      </c>
      <c r="N45" s="194">
        <v>2908</v>
      </c>
      <c r="O45" s="571">
        <f>O43+O44</f>
        <v>0.1946</v>
      </c>
      <c r="P45" s="571">
        <f>P43+P44</f>
        <v>0.13830000000000001</v>
      </c>
      <c r="Q45" s="103"/>
      <c r="R45" s="103"/>
      <c r="S45" s="3"/>
      <c r="T45" s="3"/>
      <c r="U45"/>
      <c r="V45"/>
      <c r="X45" s="852"/>
    </row>
    <row r="46" spans="1:24" ht="15" customHeight="1" x14ac:dyDescent="0.25">
      <c r="A46" s="1171" t="s">
        <v>244</v>
      </c>
      <c r="B46" s="1172"/>
      <c r="C46" s="1172"/>
      <c r="D46" s="1172"/>
      <c r="E46" s="1172"/>
      <c r="F46" s="1172"/>
      <c r="G46" s="1172"/>
      <c r="H46" s="1172"/>
      <c r="I46" s="1172"/>
      <c r="J46" s="1172"/>
      <c r="K46" s="1172"/>
      <c r="L46" s="1172"/>
      <c r="M46" s="1172"/>
      <c r="N46" s="1172"/>
      <c r="O46" s="1172"/>
      <c r="P46" s="1173"/>
      <c r="Q46" s="845"/>
      <c r="R46" s="845"/>
    </row>
    <row r="47" spans="1:24" ht="15" customHeight="1" x14ac:dyDescent="0.25">
      <c r="A47" s="1193" t="s">
        <v>426</v>
      </c>
      <c r="B47" s="1190" t="s">
        <v>18</v>
      </c>
      <c r="C47" s="1192" t="s">
        <v>10</v>
      </c>
      <c r="D47" s="7">
        <v>6.3</v>
      </c>
      <c r="E47" s="7">
        <v>1.76</v>
      </c>
      <c r="F47" s="7">
        <v>1</v>
      </c>
      <c r="G47" s="7">
        <v>0.84</v>
      </c>
      <c r="H47" s="7">
        <v>30</v>
      </c>
      <c r="I47" s="7">
        <f>ROUND((T47/S47),0)</f>
        <v>156</v>
      </c>
      <c r="J47" s="7">
        <v>1.4</v>
      </c>
      <c r="K47" s="7">
        <v>0.1</v>
      </c>
      <c r="L47" s="7">
        <v>0</v>
      </c>
      <c r="M47" s="8" t="s">
        <v>16</v>
      </c>
      <c r="N47" s="8">
        <v>2908</v>
      </c>
      <c r="O47" s="7">
        <f>ROUND((D47*E47*F47*G47*J47*K47/(1/3*H47)*(1-L47)),4)</f>
        <v>0.13039999999999999</v>
      </c>
      <c r="P47" s="7">
        <f>ROUND((((D47*(3.6*E47*F47*G47/H47)*I47*J47*K47)*(1-L47)/1000)),4)</f>
        <v>2.4400000000000002E-2</v>
      </c>
      <c r="Q47" s="102"/>
      <c r="R47" s="102"/>
      <c r="S47" s="3">
        <v>10</v>
      </c>
      <c r="T47" s="3">
        <f>3911*0.4</f>
        <v>1564.4</v>
      </c>
    </row>
    <row r="48" spans="1:24" ht="15" customHeight="1" x14ac:dyDescent="0.25">
      <c r="A48" s="1194"/>
      <c r="B48" s="1191"/>
      <c r="C48" s="1191"/>
      <c r="D48" s="7">
        <v>6.3</v>
      </c>
      <c r="E48" s="7">
        <v>1.76</v>
      </c>
      <c r="F48" s="7">
        <v>1.4</v>
      </c>
      <c r="G48" s="7">
        <v>0.84</v>
      </c>
      <c r="H48" s="7">
        <v>70</v>
      </c>
      <c r="I48" s="7">
        <f>ROUND((T48/S48),0)</f>
        <v>235</v>
      </c>
      <c r="J48" s="7">
        <v>1.4</v>
      </c>
      <c r="K48" s="7">
        <v>0.1</v>
      </c>
      <c r="L48" s="7">
        <v>0</v>
      </c>
      <c r="M48" s="8" t="s">
        <v>16</v>
      </c>
      <c r="N48" s="8">
        <v>2908</v>
      </c>
      <c r="O48" s="7">
        <f>ROUND((D48*E48*F48*G48*J48*K48/(1/3*H48)*(1-L48)),4)</f>
        <v>7.8200000000000006E-2</v>
      </c>
      <c r="P48" s="7">
        <f>ROUND((((D48*(3.6*E48*F48*G48/H48)*I48*J48*K48)*(1-L48)/1000)),4)</f>
        <v>2.2100000000000002E-2</v>
      </c>
      <c r="Q48" s="102"/>
      <c r="R48" s="102"/>
      <c r="S48" s="3">
        <v>10</v>
      </c>
      <c r="T48" s="3">
        <f>3911*0.6</f>
        <v>2346.6</v>
      </c>
    </row>
    <row r="49" spans="1:23" s="147" customFormat="1" ht="15" customHeight="1" x14ac:dyDescent="0.25">
      <c r="A49" s="1136" t="s">
        <v>427</v>
      </c>
      <c r="B49" s="1188"/>
      <c r="C49" s="1188"/>
      <c r="D49" s="1188"/>
      <c r="E49" s="1188"/>
      <c r="F49" s="1188"/>
      <c r="G49" s="1188"/>
      <c r="H49" s="1188"/>
      <c r="I49" s="1188"/>
      <c r="J49" s="1188"/>
      <c r="K49" s="1188"/>
      <c r="L49" s="1189"/>
      <c r="M49" s="194" t="s">
        <v>16</v>
      </c>
      <c r="N49" s="194">
        <v>2908</v>
      </c>
      <c r="O49" s="571">
        <f>O47+O48</f>
        <v>0.20860000000000001</v>
      </c>
      <c r="P49" s="571">
        <f>P47+P48</f>
        <v>4.65E-2</v>
      </c>
      <c r="Q49" s="103"/>
      <c r="R49" s="103"/>
      <c r="S49" s="3"/>
      <c r="T49" s="3"/>
      <c r="U49"/>
      <c r="V49"/>
      <c r="W49"/>
    </row>
    <row r="50" spans="1:23" ht="15" customHeight="1" x14ac:dyDescent="0.25">
      <c r="A50" s="1171" t="s">
        <v>264</v>
      </c>
      <c r="B50" s="1172"/>
      <c r="C50" s="1172"/>
      <c r="D50" s="1172"/>
      <c r="E50" s="1172"/>
      <c r="F50" s="1172"/>
      <c r="G50" s="1172"/>
      <c r="H50" s="1172"/>
      <c r="I50" s="1172"/>
      <c r="J50" s="1172"/>
      <c r="K50" s="1172"/>
      <c r="L50" s="1172"/>
      <c r="M50" s="1172"/>
      <c r="N50" s="1172"/>
      <c r="O50" s="1172"/>
      <c r="P50" s="1173"/>
      <c r="Q50" s="847"/>
      <c r="R50" s="847"/>
      <c r="S50" s="4"/>
      <c r="T50" s="4"/>
      <c r="U50" s="2"/>
      <c r="V50" s="2"/>
    </row>
    <row r="51" spans="1:23" ht="15" customHeight="1" x14ac:dyDescent="0.25">
      <c r="A51" s="1193" t="s">
        <v>470</v>
      </c>
      <c r="B51" s="1190" t="s">
        <v>18</v>
      </c>
      <c r="C51" s="1192" t="s">
        <v>10</v>
      </c>
      <c r="D51" s="7">
        <v>6.3</v>
      </c>
      <c r="E51" s="7">
        <v>1.76</v>
      </c>
      <c r="F51" s="7">
        <v>1</v>
      </c>
      <c r="G51" s="7">
        <v>0.84</v>
      </c>
      <c r="H51" s="7">
        <v>30</v>
      </c>
      <c r="I51" s="7">
        <f>ROUND((T51/S51),0)</f>
        <v>53</v>
      </c>
      <c r="J51" s="7">
        <v>1.4</v>
      </c>
      <c r="K51" s="7">
        <v>0.1</v>
      </c>
      <c r="L51" s="7">
        <v>0</v>
      </c>
      <c r="M51" s="8" t="s">
        <v>16</v>
      </c>
      <c r="N51" s="8">
        <v>2908</v>
      </c>
      <c r="O51" s="7">
        <f>ROUND((D51*E51*F51*G51*J51*K51/(1/3*H51)*(1-L51)),4)</f>
        <v>0.13039999999999999</v>
      </c>
      <c r="P51" s="7">
        <f>ROUND((((D51*(3.6*E51*F51*G51/H51)*I51*J51*K51)*(1-L51)/1000)),4)</f>
        <v>8.3000000000000001E-3</v>
      </c>
      <c r="Q51" s="102"/>
      <c r="R51" s="102"/>
      <c r="S51" s="3">
        <v>20</v>
      </c>
      <c r="T51" s="3">
        <f>2625*0.4</f>
        <v>1050</v>
      </c>
      <c r="U51" s="1"/>
      <c r="V51" s="1"/>
    </row>
    <row r="52" spans="1:23" ht="15" customHeight="1" x14ac:dyDescent="0.25">
      <c r="A52" s="1194"/>
      <c r="B52" s="1191"/>
      <c r="C52" s="1191"/>
      <c r="D52" s="7">
        <v>6.3</v>
      </c>
      <c r="E52" s="7">
        <v>1.76</v>
      </c>
      <c r="F52" s="7">
        <v>1.4</v>
      </c>
      <c r="G52" s="7">
        <v>0.84</v>
      </c>
      <c r="H52" s="7">
        <v>70</v>
      </c>
      <c r="I52" s="7">
        <f>ROUND((T52/S52),0)</f>
        <v>79</v>
      </c>
      <c r="J52" s="7">
        <v>1.4</v>
      </c>
      <c r="K52" s="7">
        <v>0.1</v>
      </c>
      <c r="L52" s="7">
        <v>0</v>
      </c>
      <c r="M52" s="8" t="s">
        <v>16</v>
      </c>
      <c r="N52" s="8">
        <v>2908</v>
      </c>
      <c r="O52" s="7">
        <f>ROUND((D52*E52*F52*G52*J52*K52/(1/3*H52)*(1-L52)),4)</f>
        <v>7.8200000000000006E-2</v>
      </c>
      <c r="P52" s="7">
        <f>ROUND((((D52*(3.6*E52*F52*G52/H52)*I52*J52*K52)*(1-L52)/1000)),4)</f>
        <v>7.4000000000000003E-3</v>
      </c>
      <c r="Q52" s="102"/>
      <c r="R52" s="102"/>
      <c r="S52" s="3">
        <v>20</v>
      </c>
      <c r="T52" s="3">
        <f>2625*0.6</f>
        <v>1575</v>
      </c>
      <c r="U52" s="1"/>
      <c r="V52" s="1"/>
    </row>
    <row r="53" spans="1:23" s="147" customFormat="1" ht="15" customHeight="1" x14ac:dyDescent="0.25">
      <c r="A53" s="1136" t="s">
        <v>471</v>
      </c>
      <c r="B53" s="1188"/>
      <c r="C53" s="1188"/>
      <c r="D53" s="1188"/>
      <c r="E53" s="1188"/>
      <c r="F53" s="1188"/>
      <c r="G53" s="1188"/>
      <c r="H53" s="1188"/>
      <c r="I53" s="1188"/>
      <c r="J53" s="1188"/>
      <c r="K53" s="1188"/>
      <c r="L53" s="1189"/>
      <c r="M53" s="194" t="s">
        <v>16</v>
      </c>
      <c r="N53" s="194">
        <v>2908</v>
      </c>
      <c r="O53" s="571">
        <f>O51+O52</f>
        <v>0.20860000000000001</v>
      </c>
      <c r="P53" s="571">
        <f>P51+P52</f>
        <v>1.5699999999999999E-2</v>
      </c>
      <c r="Q53" s="853"/>
      <c r="R53" s="853"/>
      <c r="S53" s="860"/>
      <c r="T53" s="860"/>
      <c r="V53"/>
    </row>
    <row r="54" spans="1:23" ht="15" customHeight="1" x14ac:dyDescent="0.25">
      <c r="A54" s="1171" t="s">
        <v>276</v>
      </c>
      <c r="B54" s="1172"/>
      <c r="C54" s="1172"/>
      <c r="D54" s="1172"/>
      <c r="E54" s="1172"/>
      <c r="F54" s="1172"/>
      <c r="G54" s="1172"/>
      <c r="H54" s="1172"/>
      <c r="I54" s="1172"/>
      <c r="J54" s="1172"/>
      <c r="K54" s="1172"/>
      <c r="L54" s="1172"/>
      <c r="M54" s="1172"/>
      <c r="N54" s="1172"/>
      <c r="O54" s="1172"/>
      <c r="P54" s="1173"/>
      <c r="Q54" s="847"/>
      <c r="R54" s="847"/>
      <c r="S54" s="4"/>
      <c r="T54" s="4"/>
      <c r="U54" s="2"/>
      <c r="V54" s="2"/>
    </row>
    <row r="55" spans="1:23" ht="15" customHeight="1" x14ac:dyDescent="0.25">
      <c r="A55" s="1195">
        <v>708402</v>
      </c>
      <c r="B55" s="1190" t="s">
        <v>18</v>
      </c>
      <c r="C55" s="1192" t="s">
        <v>10</v>
      </c>
      <c r="D55" s="7">
        <v>6.3</v>
      </c>
      <c r="E55" s="7">
        <v>1.76</v>
      </c>
      <c r="F55" s="7">
        <v>1</v>
      </c>
      <c r="G55" s="7">
        <v>0.84</v>
      </c>
      <c r="H55" s="7">
        <v>30</v>
      </c>
      <c r="I55" s="7">
        <f>ROUND((T55/S55),0)</f>
        <v>76</v>
      </c>
      <c r="J55" s="7">
        <v>1.4</v>
      </c>
      <c r="K55" s="7">
        <v>0.1</v>
      </c>
      <c r="L55" s="7">
        <v>0</v>
      </c>
      <c r="M55" s="8" t="s">
        <v>16</v>
      </c>
      <c r="N55" s="8">
        <v>2908</v>
      </c>
      <c r="O55" s="7">
        <f>ROUND((D55*E55*F55*G55*J55*K55/(1/3*H55)*(1-L55)),4)</f>
        <v>0.13039999999999999</v>
      </c>
      <c r="P55" s="7">
        <f>ROUND((((D55*(3.6*E55*F55*G55/H55)*I55*J55*K55)*(1-L55)/1000)),4)</f>
        <v>1.1900000000000001E-2</v>
      </c>
      <c r="Q55" s="102"/>
      <c r="R55" s="102"/>
      <c r="S55" s="3">
        <v>20</v>
      </c>
      <c r="T55" s="3">
        <f>3797*0.4</f>
        <v>1518.8000000000002</v>
      </c>
      <c r="U55" s="1"/>
      <c r="V55" s="1"/>
    </row>
    <row r="56" spans="1:23" ht="15" customHeight="1" x14ac:dyDescent="0.25">
      <c r="A56" s="1196"/>
      <c r="B56" s="1191"/>
      <c r="C56" s="1191"/>
      <c r="D56" s="7">
        <v>6.3</v>
      </c>
      <c r="E56" s="7">
        <v>1.76</v>
      </c>
      <c r="F56" s="7">
        <v>1.4</v>
      </c>
      <c r="G56" s="7">
        <v>0.84</v>
      </c>
      <c r="H56" s="7">
        <v>70</v>
      </c>
      <c r="I56" s="7">
        <f>ROUND((T56/S56),0)</f>
        <v>114</v>
      </c>
      <c r="J56" s="7">
        <v>1.4</v>
      </c>
      <c r="K56" s="7">
        <v>0.1</v>
      </c>
      <c r="L56" s="7">
        <v>0</v>
      </c>
      <c r="M56" s="8" t="s">
        <v>16</v>
      </c>
      <c r="N56" s="8">
        <v>2908</v>
      </c>
      <c r="O56" s="7">
        <f>ROUND((D56*E56*F56*G56*J56*K56/(1/3*H56)*(1-L56)),4)</f>
        <v>7.8200000000000006E-2</v>
      </c>
      <c r="P56" s="7">
        <f>ROUND((((D56*(3.6*E56*F56*G56/H56)*I56*J56*K56)*(1-L56)/1000)),4)</f>
        <v>1.0699999999999999E-2</v>
      </c>
      <c r="Q56" s="102"/>
      <c r="R56" s="102"/>
      <c r="S56" s="3">
        <v>20</v>
      </c>
      <c r="T56" s="3">
        <f>3797*0.6</f>
        <v>2278.1999999999998</v>
      </c>
      <c r="U56" s="1"/>
      <c r="V56" s="1"/>
    </row>
    <row r="57" spans="1:23" s="147" customFormat="1" ht="15" customHeight="1" x14ac:dyDescent="0.25">
      <c r="A57" s="1136" t="s">
        <v>480</v>
      </c>
      <c r="B57" s="1188"/>
      <c r="C57" s="1188"/>
      <c r="D57" s="1188"/>
      <c r="E57" s="1188"/>
      <c r="F57" s="1188"/>
      <c r="G57" s="1188"/>
      <c r="H57" s="1188"/>
      <c r="I57" s="1188"/>
      <c r="J57" s="1188"/>
      <c r="K57" s="1188"/>
      <c r="L57" s="1189"/>
      <c r="M57" s="194" t="s">
        <v>16</v>
      </c>
      <c r="N57" s="194">
        <v>2908</v>
      </c>
      <c r="O57" s="571">
        <f>O55+O56</f>
        <v>0.20860000000000001</v>
      </c>
      <c r="P57" s="571">
        <f>P55+P56</f>
        <v>2.2600000000000002E-2</v>
      </c>
      <c r="Q57" s="853"/>
      <c r="R57" s="853"/>
      <c r="S57" s="860"/>
      <c r="T57" s="860"/>
    </row>
    <row r="58" spans="1:23" ht="15" customHeight="1" x14ac:dyDescent="0.25">
      <c r="A58" s="1171" t="s">
        <v>284</v>
      </c>
      <c r="B58" s="1172"/>
      <c r="C58" s="1172"/>
      <c r="D58" s="1172"/>
      <c r="E58" s="1172"/>
      <c r="F58" s="1172"/>
      <c r="G58" s="1172"/>
      <c r="H58" s="1172"/>
      <c r="I58" s="1172"/>
      <c r="J58" s="1172"/>
      <c r="K58" s="1172"/>
      <c r="L58" s="1172"/>
      <c r="M58" s="1172"/>
      <c r="N58" s="1172"/>
      <c r="O58" s="1172"/>
      <c r="P58" s="1173"/>
      <c r="Q58" s="845"/>
      <c r="R58" s="845"/>
    </row>
    <row r="59" spans="1:23" ht="15" customHeight="1" x14ac:dyDescent="0.25">
      <c r="A59" s="1193" t="s">
        <v>490</v>
      </c>
      <c r="B59" s="1190" t="s">
        <v>18</v>
      </c>
      <c r="C59" s="1192" t="s">
        <v>10</v>
      </c>
      <c r="D59" s="7">
        <v>6.3</v>
      </c>
      <c r="E59" s="7">
        <v>1.76</v>
      </c>
      <c r="F59" s="7">
        <v>1</v>
      </c>
      <c r="G59" s="7">
        <v>0.84</v>
      </c>
      <c r="H59" s="7">
        <v>30</v>
      </c>
      <c r="I59" s="7">
        <f>ROUND((T59/S59),0)</f>
        <v>23</v>
      </c>
      <c r="J59" s="7">
        <v>1.4</v>
      </c>
      <c r="K59" s="7">
        <v>0.1</v>
      </c>
      <c r="L59" s="7">
        <v>0</v>
      </c>
      <c r="M59" s="8" t="s">
        <v>16</v>
      </c>
      <c r="N59" s="8">
        <v>2908</v>
      </c>
      <c r="O59" s="7">
        <f>ROUND((D59*E59*F59*G59*J59*K59/(1/3*H59)*(1-L59)),4)</f>
        <v>0.13039999999999999</v>
      </c>
      <c r="P59" s="7">
        <f>ROUND((((D59*(3.6*E59*F59*G59/H59)*I59*J59*K59)*(1-L59)/1000)),4)</f>
        <v>3.5999999999999999E-3</v>
      </c>
      <c r="Q59" s="102"/>
      <c r="R59" s="102"/>
      <c r="S59" s="3">
        <v>10</v>
      </c>
      <c r="T59" s="3">
        <f>582.8*0.4</f>
        <v>233.12</v>
      </c>
    </row>
    <row r="60" spans="1:23" ht="15" customHeight="1" x14ac:dyDescent="0.25">
      <c r="A60" s="1194"/>
      <c r="B60" s="1191"/>
      <c r="C60" s="1191"/>
      <c r="D60" s="7">
        <v>6.3</v>
      </c>
      <c r="E60" s="7">
        <v>1.76</v>
      </c>
      <c r="F60" s="7">
        <v>1.4</v>
      </c>
      <c r="G60" s="7">
        <v>0.84</v>
      </c>
      <c r="H60" s="7">
        <v>70</v>
      </c>
      <c r="I60" s="7">
        <f>ROUND((T60/S60),0)</f>
        <v>35</v>
      </c>
      <c r="J60" s="7">
        <v>1.4</v>
      </c>
      <c r="K60" s="7">
        <v>0.1</v>
      </c>
      <c r="L60" s="7">
        <v>0</v>
      </c>
      <c r="M60" s="8" t="s">
        <v>16</v>
      </c>
      <c r="N60" s="8">
        <v>2908</v>
      </c>
      <c r="O60" s="7">
        <f>ROUND((D60*E60*F60*G60*J60*K60/(1/3*H60)*(1-L60)),4)</f>
        <v>7.8200000000000006E-2</v>
      </c>
      <c r="P60" s="7">
        <f>ROUND((((D60*(3.6*E60*F60*G60/H60)*I60*J60*K60)*(1-L60)/1000)),4)</f>
        <v>3.3E-3</v>
      </c>
      <c r="Q60" s="102"/>
      <c r="R60" s="102"/>
      <c r="S60" s="3">
        <v>10</v>
      </c>
      <c r="T60" s="3">
        <f>582.8*0.6</f>
        <v>349.67999999999995</v>
      </c>
    </row>
    <row r="61" spans="1:23" s="147" customFormat="1" ht="15" customHeight="1" x14ac:dyDescent="0.25">
      <c r="A61" s="1136" t="s">
        <v>491</v>
      </c>
      <c r="B61" s="1188"/>
      <c r="C61" s="1188"/>
      <c r="D61" s="1188"/>
      <c r="E61" s="1188"/>
      <c r="F61" s="1188"/>
      <c r="G61" s="1188"/>
      <c r="H61" s="1188"/>
      <c r="I61" s="1188"/>
      <c r="J61" s="1188"/>
      <c r="K61" s="1188"/>
      <c r="L61" s="1189"/>
      <c r="M61" s="194" t="s">
        <v>16</v>
      </c>
      <c r="N61" s="194">
        <v>2908</v>
      </c>
      <c r="O61" s="571">
        <f>O59+O60</f>
        <v>0.20860000000000001</v>
      </c>
      <c r="P61" s="571">
        <f>P59+P60</f>
        <v>6.8999999999999999E-3</v>
      </c>
      <c r="Q61" s="103"/>
      <c r="R61" s="103"/>
      <c r="S61" s="3"/>
      <c r="T61" s="3"/>
      <c r="U61"/>
      <c r="V61"/>
    </row>
    <row r="62" spans="1:23" s="147" customFormat="1" ht="15" customHeight="1" x14ac:dyDescent="0.25">
      <c r="A62" s="1171" t="s">
        <v>1063</v>
      </c>
      <c r="B62" s="1172"/>
      <c r="C62" s="1172"/>
      <c r="D62" s="1172"/>
      <c r="E62" s="1172"/>
      <c r="F62" s="1172"/>
      <c r="G62" s="1172"/>
      <c r="H62" s="1172"/>
      <c r="I62" s="1172"/>
      <c r="J62" s="1172"/>
      <c r="K62" s="1172"/>
      <c r="L62" s="1172"/>
      <c r="M62" s="1172"/>
      <c r="N62" s="1172"/>
      <c r="O62" s="1172"/>
      <c r="P62" s="1173"/>
      <c r="Q62" s="845"/>
      <c r="R62" s="845"/>
      <c r="S62" s="3"/>
      <c r="T62" s="3"/>
      <c r="U62"/>
      <c r="V62"/>
      <c r="W62"/>
    </row>
    <row r="63" spans="1:23" s="147" customFormat="1" ht="15" customHeight="1" x14ac:dyDescent="0.25">
      <c r="A63" s="1193" t="s">
        <v>1066</v>
      </c>
      <c r="B63" s="1190" t="s">
        <v>18</v>
      </c>
      <c r="C63" s="1192" t="s">
        <v>10</v>
      </c>
      <c r="D63" s="7">
        <v>6.3</v>
      </c>
      <c r="E63" s="7">
        <v>1.76</v>
      </c>
      <c r="F63" s="7">
        <v>1</v>
      </c>
      <c r="G63" s="7">
        <v>0.84</v>
      </c>
      <c r="H63" s="7">
        <v>30</v>
      </c>
      <c r="I63" s="7">
        <f>ROUND((T63/S63),0)</f>
        <v>51</v>
      </c>
      <c r="J63" s="7">
        <v>1.4</v>
      </c>
      <c r="K63" s="7">
        <v>0.1</v>
      </c>
      <c r="L63" s="7">
        <v>0</v>
      </c>
      <c r="M63" s="8" t="s">
        <v>16</v>
      </c>
      <c r="N63" s="8">
        <v>2908</v>
      </c>
      <c r="O63" s="7">
        <f>ROUND((D63*E63*F63*G63*J63*K63/(1/3*H63)*(1-L63)),4)</f>
        <v>0.13039999999999999</v>
      </c>
      <c r="P63" s="7">
        <f>ROUND((((D63*(3.6*E63*F63*G63/H63)*I63*J63*K63)*(1-L63)/1000)),4)</f>
        <v>8.0000000000000002E-3</v>
      </c>
      <c r="Q63" s="102"/>
      <c r="R63" s="102"/>
      <c r="S63" s="3">
        <v>10</v>
      </c>
      <c r="T63" s="3">
        <f>1263*0.4</f>
        <v>505.20000000000005</v>
      </c>
      <c r="U63"/>
      <c r="V63"/>
      <c r="W63"/>
    </row>
    <row r="64" spans="1:23" s="147" customFormat="1" ht="15" customHeight="1" x14ac:dyDescent="0.25">
      <c r="A64" s="1194"/>
      <c r="B64" s="1191"/>
      <c r="C64" s="1191"/>
      <c r="D64" s="7">
        <v>6.3</v>
      </c>
      <c r="E64" s="7">
        <v>1.76</v>
      </c>
      <c r="F64" s="7">
        <v>1.4</v>
      </c>
      <c r="G64" s="7">
        <v>0.84</v>
      </c>
      <c r="H64" s="7">
        <v>70</v>
      </c>
      <c r="I64" s="7">
        <f>ROUND((T64/S64),0)</f>
        <v>76</v>
      </c>
      <c r="J64" s="7">
        <v>1.4</v>
      </c>
      <c r="K64" s="7">
        <v>0.1</v>
      </c>
      <c r="L64" s="7">
        <v>0</v>
      </c>
      <c r="M64" s="8" t="s">
        <v>16</v>
      </c>
      <c r="N64" s="8">
        <v>2908</v>
      </c>
      <c r="O64" s="7">
        <f>ROUND((D64*E64*F64*G64*J64*K64/(1/3*H64)*(1-L64)),4)</f>
        <v>7.8200000000000006E-2</v>
      </c>
      <c r="P64" s="7">
        <f>ROUND((((D64*(3.6*E64*F64*G64/H64)*I64*J64*K64)*(1-L64)/1000)),4)</f>
        <v>7.1000000000000004E-3</v>
      </c>
      <c r="Q64" s="102"/>
      <c r="R64" s="102"/>
      <c r="S64" s="3">
        <v>10</v>
      </c>
      <c r="T64" s="3">
        <f>1263*0.6</f>
        <v>757.8</v>
      </c>
      <c r="U64"/>
      <c r="V64"/>
      <c r="W64"/>
    </row>
    <row r="65" spans="1:23" s="147" customFormat="1" ht="15" customHeight="1" x14ac:dyDescent="0.25">
      <c r="A65" s="1136" t="s">
        <v>1067</v>
      </c>
      <c r="B65" s="1188"/>
      <c r="C65" s="1188"/>
      <c r="D65" s="1188"/>
      <c r="E65" s="1188"/>
      <c r="F65" s="1188"/>
      <c r="G65" s="1188"/>
      <c r="H65" s="1188"/>
      <c r="I65" s="1188"/>
      <c r="J65" s="1188"/>
      <c r="K65" s="1188"/>
      <c r="L65" s="1189"/>
      <c r="M65" s="194" t="s">
        <v>16</v>
      </c>
      <c r="N65" s="194">
        <v>2908</v>
      </c>
      <c r="O65" s="571">
        <f>O63+O64</f>
        <v>0.20860000000000001</v>
      </c>
      <c r="P65" s="571">
        <f>P63+P64</f>
        <v>1.5100000000000001E-2</v>
      </c>
      <c r="Q65" s="854">
        <f>O29+O33+O37+O41+O45+O49+O53+O57+O61+O65</f>
        <v>2.0300000000000002</v>
      </c>
      <c r="R65" s="855">
        <f>P29+P33+P37+P41+P45+P49+P53+P57+P61+P65</f>
        <v>0.53960000000000008</v>
      </c>
      <c r="S65" s="861">
        <v>2026</v>
      </c>
      <c r="T65" s="3"/>
      <c r="U65"/>
      <c r="V65"/>
      <c r="W65"/>
    </row>
    <row r="66" spans="1:23" ht="15" customHeight="1" x14ac:dyDescent="0.25">
      <c r="A66" s="1167" t="s">
        <v>11</v>
      </c>
      <c r="B66" s="1168"/>
      <c r="C66" s="1168"/>
      <c r="D66" s="1168"/>
      <c r="E66" s="1168"/>
      <c r="F66" s="1168"/>
      <c r="G66" s="1168"/>
      <c r="H66" s="1168"/>
      <c r="I66" s="1168"/>
      <c r="J66" s="1168"/>
      <c r="K66" s="1168"/>
      <c r="L66" s="1168"/>
      <c r="M66" s="1168"/>
      <c r="N66" s="1168"/>
      <c r="O66" s="1168"/>
      <c r="P66" s="1169"/>
      <c r="Q66" s="847"/>
      <c r="R66" s="847"/>
      <c r="S66" s="4"/>
      <c r="T66" s="4"/>
      <c r="U66" s="2"/>
      <c r="V66" s="2"/>
    </row>
    <row r="67" spans="1:23" ht="15" customHeight="1" x14ac:dyDescent="0.25">
      <c r="A67" s="1178" t="s">
        <v>8</v>
      </c>
      <c r="B67" s="1179"/>
      <c r="C67" s="1179"/>
      <c r="D67" s="1179"/>
      <c r="E67" s="1179"/>
      <c r="F67" s="1179"/>
      <c r="G67" s="1179"/>
      <c r="H67" s="1179"/>
      <c r="I67" s="1179"/>
      <c r="J67" s="1179"/>
      <c r="K67" s="1179"/>
      <c r="L67" s="1179"/>
      <c r="M67" s="1179"/>
      <c r="N67" s="1179"/>
      <c r="O67" s="1179"/>
      <c r="P67" s="1180"/>
      <c r="Q67" s="847"/>
      <c r="R67" s="847"/>
      <c r="S67" s="5" t="s">
        <v>15</v>
      </c>
      <c r="T67" s="5" t="s">
        <v>7</v>
      </c>
      <c r="U67" s="2"/>
      <c r="V67" s="2"/>
    </row>
    <row r="68" spans="1:23" ht="15" customHeight="1" x14ac:dyDescent="0.25">
      <c r="A68" s="1181" t="s">
        <v>309</v>
      </c>
      <c r="B68" s="1183" t="s">
        <v>18</v>
      </c>
      <c r="C68" s="1185" t="s">
        <v>10</v>
      </c>
      <c r="D68" s="311">
        <v>6.3</v>
      </c>
      <c r="E68" s="311">
        <v>1.76</v>
      </c>
      <c r="F68" s="311">
        <v>1</v>
      </c>
      <c r="G68" s="311">
        <v>0.84</v>
      </c>
      <c r="H68" s="311">
        <v>30</v>
      </c>
      <c r="I68" s="311">
        <f>ROUND((T68/S68),0)</f>
        <v>444</v>
      </c>
      <c r="J68" s="311">
        <v>1.4</v>
      </c>
      <c r="K68" s="311">
        <v>0.1</v>
      </c>
      <c r="L68" s="311">
        <v>0</v>
      </c>
      <c r="M68" s="312" t="s">
        <v>16</v>
      </c>
      <c r="N68" s="312">
        <v>2908</v>
      </c>
      <c r="O68" s="311">
        <f>ROUND((D68*E68*F68*G68*J68*K68/(1/3*H68)*(1-L68)),4)</f>
        <v>0.13039999999999999</v>
      </c>
      <c r="P68" s="311">
        <f>ROUND((((D68*(3.6*E68*F68*G68/H68)*I68*J68*K68)*(1-L68)/1000)),4)</f>
        <v>6.9500000000000006E-2</v>
      </c>
      <c r="Q68" s="25"/>
      <c r="R68" s="25"/>
      <c r="S68" s="5">
        <v>20</v>
      </c>
      <c r="T68" s="5">
        <f>22206*0.4</f>
        <v>8882.4</v>
      </c>
      <c r="U68" s="1"/>
      <c r="V68" s="1"/>
    </row>
    <row r="69" spans="1:23" ht="15" customHeight="1" x14ac:dyDescent="0.25">
      <c r="A69" s="1182"/>
      <c r="B69" s="1184"/>
      <c r="C69" s="1184"/>
      <c r="D69" s="311">
        <v>6.3</v>
      </c>
      <c r="E69" s="311">
        <v>1.76</v>
      </c>
      <c r="F69" s="311">
        <v>1.4</v>
      </c>
      <c r="G69" s="311">
        <v>0.84</v>
      </c>
      <c r="H69" s="311">
        <v>70</v>
      </c>
      <c r="I69" s="311">
        <f>ROUND((T69/S69),0)</f>
        <v>666</v>
      </c>
      <c r="J69" s="311">
        <v>1.4</v>
      </c>
      <c r="K69" s="311">
        <v>0.1</v>
      </c>
      <c r="L69" s="311">
        <v>0</v>
      </c>
      <c r="M69" s="312" t="s">
        <v>16</v>
      </c>
      <c r="N69" s="312">
        <v>2908</v>
      </c>
      <c r="O69" s="311">
        <f>ROUND((D69*E69*F69*G69*J69*K69/(1/3*H69)*(1-L69)),4)</f>
        <v>7.8200000000000006E-2</v>
      </c>
      <c r="P69" s="311">
        <f>ROUND((((D69*(3.6*E69*F69*G69/H69)*I69*J69*K69)*(1-L69)/1000)),4)</f>
        <v>6.25E-2</v>
      </c>
      <c r="Q69" s="25"/>
      <c r="R69" s="25"/>
      <c r="S69" s="5">
        <v>20</v>
      </c>
      <c r="T69" s="5">
        <f>22206*0.6</f>
        <v>13323.6</v>
      </c>
      <c r="U69" s="1"/>
      <c r="V69" s="1"/>
    </row>
    <row r="70" spans="1:23" ht="15" customHeight="1" x14ac:dyDescent="0.25">
      <c r="A70" s="1139" t="s">
        <v>310</v>
      </c>
      <c r="B70" s="1186"/>
      <c r="C70" s="1186"/>
      <c r="D70" s="1186"/>
      <c r="E70" s="1186"/>
      <c r="F70" s="1186"/>
      <c r="G70" s="1186"/>
      <c r="H70" s="1186"/>
      <c r="I70" s="1186"/>
      <c r="J70" s="1186"/>
      <c r="K70" s="1186"/>
      <c r="L70" s="1187"/>
      <c r="M70" s="313" t="s">
        <v>16</v>
      </c>
      <c r="N70" s="313">
        <v>2908</v>
      </c>
      <c r="O70" s="572">
        <f>O68+O69</f>
        <v>0.20860000000000001</v>
      </c>
      <c r="P70" s="572">
        <f>P68+P69</f>
        <v>0.13200000000000001</v>
      </c>
      <c r="Q70" s="856"/>
      <c r="R70" s="856"/>
      <c r="S70" s="5"/>
      <c r="T70" s="5"/>
      <c r="U70" s="1"/>
      <c r="V70" s="857"/>
    </row>
    <row r="71" spans="1:23" ht="15" customHeight="1" x14ac:dyDescent="0.25">
      <c r="A71" s="1171" t="s">
        <v>204</v>
      </c>
      <c r="B71" s="1172"/>
      <c r="C71" s="1172"/>
      <c r="D71" s="1172"/>
      <c r="E71" s="1172"/>
      <c r="F71" s="1172"/>
      <c r="G71" s="1172"/>
      <c r="H71" s="1172"/>
      <c r="I71" s="1172"/>
      <c r="J71" s="1172"/>
      <c r="K71" s="1172"/>
      <c r="L71" s="1172"/>
      <c r="M71" s="1172"/>
      <c r="N71" s="1172"/>
      <c r="O71" s="1172"/>
      <c r="P71" s="1173"/>
      <c r="Q71" s="845"/>
      <c r="R71" s="845"/>
    </row>
    <row r="72" spans="1:23" ht="15" customHeight="1" x14ac:dyDescent="0.25">
      <c r="A72" s="1193" t="s">
        <v>381</v>
      </c>
      <c r="B72" s="1190" t="s">
        <v>323</v>
      </c>
      <c r="C72" s="1192" t="s">
        <v>207</v>
      </c>
      <c r="D72" s="7">
        <v>6.3</v>
      </c>
      <c r="E72" s="7">
        <v>1.97</v>
      </c>
      <c r="F72" s="7">
        <v>1</v>
      </c>
      <c r="G72" s="7">
        <v>0.7</v>
      </c>
      <c r="H72" s="7">
        <v>30</v>
      </c>
      <c r="I72" s="7">
        <f>ROUND((T72/S72),0)</f>
        <v>101</v>
      </c>
      <c r="J72" s="7">
        <v>1.4</v>
      </c>
      <c r="K72" s="7">
        <v>0.1</v>
      </c>
      <c r="L72" s="7">
        <v>0</v>
      </c>
      <c r="M72" s="8" t="s">
        <v>16</v>
      </c>
      <c r="N72" s="8">
        <v>2908</v>
      </c>
      <c r="O72" s="7">
        <f>ROUND((D72*E72*F72*G72*J72*K72/(1/3*H72)*(1-L72)),4)</f>
        <v>0.1216</v>
      </c>
      <c r="P72" s="7">
        <f>ROUND((((D72*(3.6*E72*F72*G72/H72)*I72*J72*K72)*(1-L72)/1000)),4)</f>
        <v>1.47E-2</v>
      </c>
      <c r="Q72" s="102"/>
      <c r="R72" s="102"/>
      <c r="S72" s="3">
        <v>10</v>
      </c>
      <c r="T72" s="3">
        <f>2519.3*0.4</f>
        <v>1007.7200000000001</v>
      </c>
    </row>
    <row r="73" spans="1:23" ht="15" customHeight="1" x14ac:dyDescent="0.25">
      <c r="A73" s="1194"/>
      <c r="B73" s="1191"/>
      <c r="C73" s="1191"/>
      <c r="D73" s="7">
        <v>6.3</v>
      </c>
      <c r="E73" s="7">
        <v>1.97</v>
      </c>
      <c r="F73" s="7">
        <v>1.4</v>
      </c>
      <c r="G73" s="7">
        <v>0.7</v>
      </c>
      <c r="H73" s="7">
        <v>70</v>
      </c>
      <c r="I73" s="7">
        <f>ROUND((T73/S73),0)</f>
        <v>151</v>
      </c>
      <c r="J73" s="7">
        <v>1.4</v>
      </c>
      <c r="K73" s="7">
        <v>0.1</v>
      </c>
      <c r="L73" s="7">
        <v>0</v>
      </c>
      <c r="M73" s="8" t="s">
        <v>16</v>
      </c>
      <c r="N73" s="8">
        <v>2908</v>
      </c>
      <c r="O73" s="7">
        <f>ROUND((D73*E73*F73*G73*J73*K73/(1/3*H73)*(1-L73)),4)</f>
        <v>7.2999999999999995E-2</v>
      </c>
      <c r="P73" s="7">
        <f>ROUND((((D73*(3.6*E73*F73*G73/H73)*I73*J73*K73)*(1-L73)/1000)),4)</f>
        <v>1.32E-2</v>
      </c>
      <c r="Q73" s="102"/>
      <c r="R73" s="102"/>
      <c r="S73" s="3">
        <v>10</v>
      </c>
      <c r="T73" s="3">
        <f>2519.3*0.6</f>
        <v>1511.5800000000002</v>
      </c>
    </row>
    <row r="74" spans="1:23" ht="15" customHeight="1" x14ac:dyDescent="0.25">
      <c r="A74" s="1136" t="s">
        <v>382</v>
      </c>
      <c r="B74" s="1188"/>
      <c r="C74" s="1188"/>
      <c r="D74" s="1188"/>
      <c r="E74" s="1188"/>
      <c r="F74" s="1188"/>
      <c r="G74" s="1188"/>
      <c r="H74" s="1188"/>
      <c r="I74" s="1188"/>
      <c r="J74" s="1188"/>
      <c r="K74" s="1188"/>
      <c r="L74" s="1189"/>
      <c r="M74" s="194" t="s">
        <v>16</v>
      </c>
      <c r="N74" s="194">
        <v>2908</v>
      </c>
      <c r="O74" s="571">
        <f>O72+O73</f>
        <v>0.1946</v>
      </c>
      <c r="P74" s="571">
        <f>P72+P73</f>
        <v>2.7900000000000001E-2</v>
      </c>
      <c r="Q74" s="103"/>
      <c r="R74" s="103"/>
    </row>
    <row r="75" spans="1:23" ht="15" customHeight="1" x14ac:dyDescent="0.25">
      <c r="A75" s="1171" t="s">
        <v>210</v>
      </c>
      <c r="B75" s="1172"/>
      <c r="C75" s="1172"/>
      <c r="D75" s="1172"/>
      <c r="E75" s="1172"/>
      <c r="F75" s="1172"/>
      <c r="G75" s="1172"/>
      <c r="H75" s="1172"/>
      <c r="I75" s="1172"/>
      <c r="J75" s="1172"/>
      <c r="K75" s="1172"/>
      <c r="L75" s="1172"/>
      <c r="M75" s="1172"/>
      <c r="N75" s="1172"/>
      <c r="O75" s="1172"/>
      <c r="P75" s="1173"/>
      <c r="Q75" s="845"/>
      <c r="R75" s="845"/>
    </row>
    <row r="76" spans="1:23" ht="15" customHeight="1" x14ac:dyDescent="0.25">
      <c r="A76" s="1193" t="s">
        <v>387</v>
      </c>
      <c r="B76" s="1190" t="s">
        <v>323</v>
      </c>
      <c r="C76" s="1192" t="s">
        <v>207</v>
      </c>
      <c r="D76" s="7">
        <v>6.3</v>
      </c>
      <c r="E76" s="7">
        <v>1.97</v>
      </c>
      <c r="F76" s="7">
        <v>1</v>
      </c>
      <c r="G76" s="7">
        <v>0.7</v>
      </c>
      <c r="H76" s="7">
        <v>30</v>
      </c>
      <c r="I76" s="7">
        <f>ROUND((T76/S76),0)</f>
        <v>34</v>
      </c>
      <c r="J76" s="7">
        <v>1.4</v>
      </c>
      <c r="K76" s="7">
        <v>0.1</v>
      </c>
      <c r="L76" s="7">
        <v>0</v>
      </c>
      <c r="M76" s="8" t="s">
        <v>16</v>
      </c>
      <c r="N76" s="8">
        <v>2908</v>
      </c>
      <c r="O76" s="7">
        <f>ROUND((D76*E76*F76*G76*J76*K76/(1/3*H76)*(1-L76)),4)</f>
        <v>0.1216</v>
      </c>
      <c r="P76" s="7">
        <f>ROUND((((D76*(3.6*E76*F76*G76/H76)*I76*J76*K76)*(1-L76)/1000)),4)</f>
        <v>5.0000000000000001E-3</v>
      </c>
      <c r="Q76" s="102"/>
      <c r="R76" s="102"/>
      <c r="S76" s="3">
        <v>10</v>
      </c>
      <c r="T76" s="3">
        <f>856.2*0.4</f>
        <v>342.48</v>
      </c>
    </row>
    <row r="77" spans="1:23" ht="15" customHeight="1" x14ac:dyDescent="0.25">
      <c r="A77" s="1194"/>
      <c r="B77" s="1191"/>
      <c r="C77" s="1191"/>
      <c r="D77" s="7">
        <v>6.3</v>
      </c>
      <c r="E77" s="7">
        <v>1.97</v>
      </c>
      <c r="F77" s="7">
        <v>1.4</v>
      </c>
      <c r="G77" s="7">
        <v>0.7</v>
      </c>
      <c r="H77" s="7">
        <v>70</v>
      </c>
      <c r="I77" s="7">
        <f>ROUND((T77/S77),0)</f>
        <v>51</v>
      </c>
      <c r="J77" s="7">
        <v>1.4</v>
      </c>
      <c r="K77" s="7">
        <v>0.1</v>
      </c>
      <c r="L77" s="7">
        <v>0</v>
      </c>
      <c r="M77" s="8" t="s">
        <v>16</v>
      </c>
      <c r="N77" s="8">
        <v>2908</v>
      </c>
      <c r="O77" s="7">
        <f>ROUND((D77*E77*F77*G77*J77*K77/(1/3*H77)*(1-L77)),4)</f>
        <v>7.2999999999999995E-2</v>
      </c>
      <c r="P77" s="7">
        <f>ROUND((((D77*(3.6*E77*F77*G77/H77)*I77*J77*K77)*(1-L77)/1000)),4)</f>
        <v>4.4999999999999997E-3</v>
      </c>
      <c r="Q77" s="102"/>
      <c r="R77" s="102"/>
      <c r="S77" s="3">
        <v>10</v>
      </c>
      <c r="T77" s="3">
        <f>856.2*0.6</f>
        <v>513.72</v>
      </c>
    </row>
    <row r="78" spans="1:23" ht="15" customHeight="1" x14ac:dyDescent="0.25">
      <c r="A78" s="1136" t="s">
        <v>388</v>
      </c>
      <c r="B78" s="1188"/>
      <c r="C78" s="1188"/>
      <c r="D78" s="1188"/>
      <c r="E78" s="1188"/>
      <c r="F78" s="1188"/>
      <c r="G78" s="1188"/>
      <c r="H78" s="1188"/>
      <c r="I78" s="1188"/>
      <c r="J78" s="1188"/>
      <c r="K78" s="1188"/>
      <c r="L78" s="1189"/>
      <c r="M78" s="194" t="s">
        <v>16</v>
      </c>
      <c r="N78" s="194">
        <v>2908</v>
      </c>
      <c r="O78" s="571">
        <f>O76+O77</f>
        <v>0.1946</v>
      </c>
      <c r="P78" s="571">
        <f>P76+P77</f>
        <v>9.4999999999999998E-3</v>
      </c>
      <c r="Q78" s="103"/>
      <c r="R78" s="103"/>
    </row>
    <row r="79" spans="1:23" ht="15" customHeight="1" x14ac:dyDescent="0.25">
      <c r="A79" s="1171" t="s">
        <v>213</v>
      </c>
      <c r="B79" s="1172"/>
      <c r="C79" s="1172"/>
      <c r="D79" s="1172"/>
      <c r="E79" s="1172"/>
      <c r="F79" s="1172"/>
      <c r="G79" s="1172"/>
      <c r="H79" s="1172"/>
      <c r="I79" s="1172"/>
      <c r="J79" s="1172"/>
      <c r="K79" s="1172"/>
      <c r="L79" s="1172"/>
      <c r="M79" s="1172"/>
      <c r="N79" s="1172"/>
      <c r="O79" s="1172"/>
      <c r="P79" s="1173"/>
      <c r="Q79" s="845"/>
      <c r="R79" s="845"/>
    </row>
    <row r="80" spans="1:23" ht="15" customHeight="1" x14ac:dyDescent="0.25">
      <c r="A80" s="1193" t="s">
        <v>393</v>
      </c>
      <c r="B80" s="1190" t="s">
        <v>323</v>
      </c>
      <c r="C80" s="1192" t="s">
        <v>207</v>
      </c>
      <c r="D80" s="7">
        <v>6.3</v>
      </c>
      <c r="E80" s="7">
        <v>1.97</v>
      </c>
      <c r="F80" s="7">
        <v>1</v>
      </c>
      <c r="G80" s="7">
        <v>0.7</v>
      </c>
      <c r="H80" s="7">
        <v>30</v>
      </c>
      <c r="I80" s="7">
        <f>ROUND((T80/S80),0)</f>
        <v>110</v>
      </c>
      <c r="J80" s="7">
        <v>1.4</v>
      </c>
      <c r="K80" s="7">
        <v>0.1</v>
      </c>
      <c r="L80" s="7">
        <v>0</v>
      </c>
      <c r="M80" s="8" t="s">
        <v>16</v>
      </c>
      <c r="N80" s="8">
        <v>2908</v>
      </c>
      <c r="O80" s="7">
        <f>ROUND((D80*E80*F80*G80*J80*K80/(1/3*H80)*(1-L80)),4)</f>
        <v>0.1216</v>
      </c>
      <c r="P80" s="7">
        <f>ROUND((((D80*(3.6*E80*F80*G80/H80)*I80*J80*K80)*(1-L80)/1000)),4)</f>
        <v>1.61E-2</v>
      </c>
      <c r="Q80" s="102"/>
      <c r="R80" s="102"/>
      <c r="S80" s="3">
        <v>10</v>
      </c>
      <c r="T80" s="3">
        <f>2743.2*0.4</f>
        <v>1097.28</v>
      </c>
    </row>
    <row r="81" spans="1:22" ht="15" customHeight="1" x14ac:dyDescent="0.25">
      <c r="A81" s="1194"/>
      <c r="B81" s="1191"/>
      <c r="C81" s="1191"/>
      <c r="D81" s="7">
        <v>6.3</v>
      </c>
      <c r="E81" s="7">
        <v>1.97</v>
      </c>
      <c r="F81" s="7">
        <v>1.4</v>
      </c>
      <c r="G81" s="7">
        <v>0.7</v>
      </c>
      <c r="H81" s="7">
        <v>70</v>
      </c>
      <c r="I81" s="7">
        <f>ROUND((T81/S81),0)</f>
        <v>165</v>
      </c>
      <c r="J81" s="7">
        <v>1.4</v>
      </c>
      <c r="K81" s="7">
        <v>0.1</v>
      </c>
      <c r="L81" s="7">
        <v>0</v>
      </c>
      <c r="M81" s="8" t="s">
        <v>16</v>
      </c>
      <c r="N81" s="8">
        <v>2908</v>
      </c>
      <c r="O81" s="7">
        <f>ROUND((D81*E81*F81*G81*J81*K81/(1/3*H81)*(1-L81)),4)</f>
        <v>7.2999999999999995E-2</v>
      </c>
      <c r="P81" s="7">
        <f>ROUND((((D81*(3.6*E81*F81*G81/H81)*I81*J81*K81)*(1-L81)/1000)),4)</f>
        <v>1.44E-2</v>
      </c>
      <c r="Q81" s="102"/>
      <c r="R81" s="102"/>
      <c r="S81" s="3">
        <v>10</v>
      </c>
      <c r="T81" s="3">
        <f>2743.2*0.6</f>
        <v>1645.9199999999998</v>
      </c>
    </row>
    <row r="82" spans="1:22" ht="15" customHeight="1" x14ac:dyDescent="0.25">
      <c r="A82" s="1136" t="s">
        <v>394</v>
      </c>
      <c r="B82" s="1188"/>
      <c r="C82" s="1188"/>
      <c r="D82" s="1188"/>
      <c r="E82" s="1188"/>
      <c r="F82" s="1188"/>
      <c r="G82" s="1188"/>
      <c r="H82" s="1188"/>
      <c r="I82" s="1188"/>
      <c r="J82" s="1188"/>
      <c r="K82" s="1188"/>
      <c r="L82" s="1189"/>
      <c r="M82" s="194" t="s">
        <v>16</v>
      </c>
      <c r="N82" s="194">
        <v>2908</v>
      </c>
      <c r="O82" s="571">
        <f>O80+O81</f>
        <v>0.1946</v>
      </c>
      <c r="P82" s="571">
        <f>P80+P81</f>
        <v>3.0499999999999999E-2</v>
      </c>
      <c r="Q82" s="103"/>
      <c r="R82" s="103"/>
    </row>
    <row r="83" spans="1:22" ht="15" customHeight="1" x14ac:dyDescent="0.25">
      <c r="A83" s="1171" t="s">
        <v>232</v>
      </c>
      <c r="B83" s="1172"/>
      <c r="C83" s="1172"/>
      <c r="D83" s="1172"/>
      <c r="E83" s="1172"/>
      <c r="F83" s="1172"/>
      <c r="G83" s="1172"/>
      <c r="H83" s="1172"/>
      <c r="I83" s="1172"/>
      <c r="J83" s="1172"/>
      <c r="K83" s="1172"/>
      <c r="L83" s="1172"/>
      <c r="M83" s="1172"/>
      <c r="N83" s="1172"/>
      <c r="O83" s="1172"/>
      <c r="P83" s="1173"/>
      <c r="Q83" s="845"/>
      <c r="R83" s="845"/>
    </row>
    <row r="84" spans="1:22" ht="15" customHeight="1" x14ac:dyDescent="0.25">
      <c r="A84" s="1198" t="s">
        <v>1182</v>
      </c>
      <c r="B84" s="1200" t="s">
        <v>323</v>
      </c>
      <c r="C84" s="1202" t="s">
        <v>207</v>
      </c>
      <c r="D84" s="758">
        <v>6.3</v>
      </c>
      <c r="E84" s="758">
        <v>1.97</v>
      </c>
      <c r="F84" s="758">
        <v>1</v>
      </c>
      <c r="G84" s="758">
        <v>0.7</v>
      </c>
      <c r="H84" s="758">
        <v>30</v>
      </c>
      <c r="I84" s="758">
        <f>ROUND((T84/S84),0)</f>
        <v>68</v>
      </c>
      <c r="J84" s="758">
        <v>1.4</v>
      </c>
      <c r="K84" s="758">
        <v>0.1</v>
      </c>
      <c r="L84" s="758">
        <v>0</v>
      </c>
      <c r="M84" s="8" t="s">
        <v>16</v>
      </c>
      <c r="N84" s="8">
        <v>2908</v>
      </c>
      <c r="O84" s="7">
        <f>ROUND((D84*E84*F84*G84*J84*K84/(1/3*H84)*(1-L84)),4)</f>
        <v>0.1216</v>
      </c>
      <c r="P84" s="7">
        <f>ROUND((((D84*(3.6*E84*F84*G84/H84)*I84*J84*K84)*(1-L84)/1000)),4)</f>
        <v>9.9000000000000008E-3</v>
      </c>
      <c r="Q84" s="102"/>
      <c r="R84" s="102"/>
      <c r="S84" s="3">
        <v>20</v>
      </c>
      <c r="T84" s="3">
        <f>3424.7*0.4</f>
        <v>1369.88</v>
      </c>
    </row>
    <row r="85" spans="1:22" ht="15" customHeight="1" x14ac:dyDescent="0.25">
      <c r="A85" s="1199"/>
      <c r="B85" s="1201"/>
      <c r="C85" s="1201"/>
      <c r="D85" s="758">
        <v>6.3</v>
      </c>
      <c r="E85" s="758">
        <v>1.97</v>
      </c>
      <c r="F85" s="758">
        <v>1.4</v>
      </c>
      <c r="G85" s="758">
        <v>0.7</v>
      </c>
      <c r="H85" s="758">
        <v>70</v>
      </c>
      <c r="I85" s="758">
        <f>ROUND((T85/S85),0)</f>
        <v>103</v>
      </c>
      <c r="J85" s="758">
        <v>1.4</v>
      </c>
      <c r="K85" s="758">
        <v>0.1</v>
      </c>
      <c r="L85" s="758">
        <v>0</v>
      </c>
      <c r="M85" s="8" t="s">
        <v>16</v>
      </c>
      <c r="N85" s="8">
        <v>2908</v>
      </c>
      <c r="O85" s="7">
        <f>ROUND((D85*E85*F85*G85*J85*K85/(1/3*H85)*(1-L85)),4)</f>
        <v>7.2999999999999995E-2</v>
      </c>
      <c r="P85" s="7">
        <f>ROUND((((D85*(3.6*E85*F85*G85/H85)*I85*J85*K85)*(1-L85)/1000)),4)</f>
        <v>8.9999999999999993E-3</v>
      </c>
      <c r="Q85" s="102"/>
      <c r="R85" s="102"/>
      <c r="S85" s="3">
        <v>20</v>
      </c>
      <c r="T85" s="3">
        <f>3424.7*0.6</f>
        <v>2054.8199999999997</v>
      </c>
    </row>
    <row r="86" spans="1:22" ht="15" customHeight="1" x14ac:dyDescent="0.25">
      <c r="A86" s="1203" t="s">
        <v>1183</v>
      </c>
      <c r="B86" s="1204"/>
      <c r="C86" s="1204"/>
      <c r="D86" s="1204"/>
      <c r="E86" s="1204"/>
      <c r="F86" s="1204"/>
      <c r="G86" s="1204"/>
      <c r="H86" s="1204"/>
      <c r="I86" s="1204"/>
      <c r="J86" s="1204"/>
      <c r="K86" s="1204"/>
      <c r="L86" s="1205"/>
      <c r="M86" s="194" t="s">
        <v>16</v>
      </c>
      <c r="N86" s="194">
        <v>2908</v>
      </c>
      <c r="O86" s="571">
        <f>O84+O85</f>
        <v>0.1946</v>
      </c>
      <c r="P86" s="571">
        <f>P84+P85</f>
        <v>1.89E-2</v>
      </c>
      <c r="Q86" s="103"/>
      <c r="R86" s="103"/>
    </row>
    <row r="87" spans="1:22" ht="15" customHeight="1" x14ac:dyDescent="0.25">
      <c r="A87" s="1171" t="s">
        <v>233</v>
      </c>
      <c r="B87" s="1172"/>
      <c r="C87" s="1172"/>
      <c r="D87" s="1172"/>
      <c r="E87" s="1172"/>
      <c r="F87" s="1172"/>
      <c r="G87" s="1172"/>
      <c r="H87" s="1172"/>
      <c r="I87" s="1172"/>
      <c r="J87" s="1172"/>
      <c r="K87" s="1172"/>
      <c r="L87" s="1172"/>
      <c r="M87" s="1172"/>
      <c r="N87" s="1172"/>
      <c r="O87" s="1172"/>
      <c r="P87" s="1173"/>
      <c r="Q87" s="845"/>
      <c r="R87" s="845"/>
    </row>
    <row r="88" spans="1:22" ht="15" customHeight="1" x14ac:dyDescent="0.25">
      <c r="A88" s="1193" t="s">
        <v>408</v>
      </c>
      <c r="B88" s="1190" t="s">
        <v>323</v>
      </c>
      <c r="C88" s="1192" t="s">
        <v>207</v>
      </c>
      <c r="D88" s="7">
        <v>6.3</v>
      </c>
      <c r="E88" s="7">
        <v>1.97</v>
      </c>
      <c r="F88" s="7">
        <v>1</v>
      </c>
      <c r="G88" s="7">
        <v>0.7</v>
      </c>
      <c r="H88" s="7">
        <v>30</v>
      </c>
      <c r="I88" s="7">
        <f>ROUND((T88/S88),0)</f>
        <v>51</v>
      </c>
      <c r="J88" s="7">
        <v>1.4</v>
      </c>
      <c r="K88" s="7">
        <v>0.1</v>
      </c>
      <c r="L88" s="7">
        <v>0</v>
      </c>
      <c r="M88" s="8" t="s">
        <v>16</v>
      </c>
      <c r="N88" s="8">
        <v>2908</v>
      </c>
      <c r="O88" s="7">
        <f>ROUND((D88*E88*F88*G88*J88*K88/(1/3*H88)*(1-L88)),4)</f>
        <v>0.1216</v>
      </c>
      <c r="P88" s="7">
        <f>ROUND((((D88*(3.6*E88*F88*G88/H88)*I88*J88*K88)*(1-L88)/1000)),4)</f>
        <v>7.4000000000000003E-3</v>
      </c>
      <c r="Q88" s="102"/>
      <c r="R88" s="102"/>
      <c r="S88" s="3">
        <v>20</v>
      </c>
      <c r="T88" s="3">
        <f>2536.9*0.4</f>
        <v>1014.7600000000001</v>
      </c>
    </row>
    <row r="89" spans="1:22" ht="15" customHeight="1" x14ac:dyDescent="0.25">
      <c r="A89" s="1194"/>
      <c r="B89" s="1191"/>
      <c r="C89" s="1191"/>
      <c r="D89" s="7">
        <v>6.3</v>
      </c>
      <c r="E89" s="7">
        <v>1.97</v>
      </c>
      <c r="F89" s="7">
        <v>1.4</v>
      </c>
      <c r="G89" s="7">
        <v>0.7</v>
      </c>
      <c r="H89" s="7">
        <v>70</v>
      </c>
      <c r="I89" s="7">
        <f>ROUND((T89/S89),0)</f>
        <v>76</v>
      </c>
      <c r="J89" s="7">
        <v>1.4</v>
      </c>
      <c r="K89" s="7">
        <v>0.1</v>
      </c>
      <c r="L89" s="7">
        <v>0</v>
      </c>
      <c r="M89" s="8" t="s">
        <v>16</v>
      </c>
      <c r="N89" s="8">
        <v>2908</v>
      </c>
      <c r="O89" s="7">
        <f>ROUND((D89*E89*F89*G89*J89*K89/(1/3*H89)*(1-L89)),4)</f>
        <v>7.2999999999999995E-2</v>
      </c>
      <c r="P89" s="7">
        <f>ROUND((((D89*(3.6*E89*F89*G89/H89)*I89*J89*K89)*(1-L89)/1000)),4)</f>
        <v>6.7000000000000002E-3</v>
      </c>
      <c r="Q89" s="102"/>
      <c r="R89" s="102"/>
      <c r="S89" s="3">
        <v>20</v>
      </c>
      <c r="T89" s="3">
        <f>2536.9*0.6</f>
        <v>1522.14</v>
      </c>
    </row>
    <row r="90" spans="1:22" ht="15" customHeight="1" x14ac:dyDescent="0.25">
      <c r="A90" s="1136" t="s">
        <v>409</v>
      </c>
      <c r="B90" s="1188"/>
      <c r="C90" s="1188"/>
      <c r="D90" s="1188"/>
      <c r="E90" s="1188"/>
      <c r="F90" s="1188"/>
      <c r="G90" s="1188"/>
      <c r="H90" s="1188"/>
      <c r="I90" s="1188"/>
      <c r="J90" s="1188"/>
      <c r="K90" s="1188"/>
      <c r="L90" s="1189"/>
      <c r="M90" s="194" t="s">
        <v>16</v>
      </c>
      <c r="N90" s="194">
        <v>2908</v>
      </c>
      <c r="O90" s="571">
        <f>O88+O89</f>
        <v>0.1946</v>
      </c>
      <c r="P90" s="571">
        <f>P88+P89</f>
        <v>1.4100000000000001E-2</v>
      </c>
      <c r="Q90" s="103"/>
      <c r="R90" s="103"/>
    </row>
    <row r="91" spans="1:22" ht="15" customHeight="1" x14ac:dyDescent="0.25">
      <c r="A91" s="1171" t="s">
        <v>260</v>
      </c>
      <c r="B91" s="1172"/>
      <c r="C91" s="1172"/>
      <c r="D91" s="1172"/>
      <c r="E91" s="1172"/>
      <c r="F91" s="1172"/>
      <c r="G91" s="1172"/>
      <c r="H91" s="1172"/>
      <c r="I91" s="1172"/>
      <c r="J91" s="1172"/>
      <c r="K91" s="1172"/>
      <c r="L91" s="1172"/>
      <c r="M91" s="1172"/>
      <c r="N91" s="1172"/>
      <c r="O91" s="1172"/>
      <c r="P91" s="1173"/>
      <c r="Q91" s="847"/>
      <c r="R91" s="847"/>
      <c r="S91" s="4"/>
      <c r="T91" s="4"/>
      <c r="U91" s="2"/>
      <c r="V91" s="2"/>
    </row>
    <row r="92" spans="1:22" ht="15" customHeight="1" x14ac:dyDescent="0.25">
      <c r="A92" s="1193" t="s">
        <v>454</v>
      </c>
      <c r="B92" s="1190" t="s">
        <v>18</v>
      </c>
      <c r="C92" s="1192" t="s">
        <v>10</v>
      </c>
      <c r="D92" s="7">
        <v>6.3</v>
      </c>
      <c r="E92" s="7">
        <v>1.76</v>
      </c>
      <c r="F92" s="7">
        <v>1</v>
      </c>
      <c r="G92" s="7">
        <v>0.84</v>
      </c>
      <c r="H92" s="7">
        <v>30</v>
      </c>
      <c r="I92" s="7">
        <f>ROUND((T92/S92),0)</f>
        <v>42</v>
      </c>
      <c r="J92" s="7">
        <v>1.4</v>
      </c>
      <c r="K92" s="7">
        <v>0.1</v>
      </c>
      <c r="L92" s="7">
        <v>0</v>
      </c>
      <c r="M92" s="8" t="s">
        <v>16</v>
      </c>
      <c r="N92" s="8">
        <v>2908</v>
      </c>
      <c r="O92" s="7">
        <f>ROUND((D92*E92*F92*G92*J92*K92/(1/3*H92)*(1-L92)),4)</f>
        <v>0.13039999999999999</v>
      </c>
      <c r="P92" s="7">
        <f>ROUND((((D92*(3.6*E92*F92*G92/H92)*I92*J92*K92)*(1-L92)/1000)),4)</f>
        <v>6.6E-3</v>
      </c>
      <c r="Q92" s="25"/>
      <c r="R92" s="25"/>
      <c r="S92" s="5">
        <v>20</v>
      </c>
      <c r="T92" s="5">
        <f>2124*0.4</f>
        <v>849.6</v>
      </c>
      <c r="U92" s="1"/>
      <c r="V92" s="1"/>
    </row>
    <row r="93" spans="1:22" ht="15" customHeight="1" x14ac:dyDescent="0.25">
      <c r="A93" s="1194"/>
      <c r="B93" s="1191"/>
      <c r="C93" s="1191"/>
      <c r="D93" s="7">
        <v>6.3</v>
      </c>
      <c r="E93" s="7">
        <v>1.76</v>
      </c>
      <c r="F93" s="7">
        <v>1.4</v>
      </c>
      <c r="G93" s="7">
        <v>0.84</v>
      </c>
      <c r="H93" s="7">
        <v>70</v>
      </c>
      <c r="I93" s="7">
        <f>ROUND((T93/S93),0)</f>
        <v>42</v>
      </c>
      <c r="J93" s="7">
        <v>1.4</v>
      </c>
      <c r="K93" s="7">
        <v>0.1</v>
      </c>
      <c r="L93" s="7">
        <v>0</v>
      </c>
      <c r="M93" s="8" t="s">
        <v>16</v>
      </c>
      <c r="N93" s="8">
        <v>2908</v>
      </c>
      <c r="O93" s="7">
        <f>ROUND((D93*E93*F93*G93*J93*K93/(1/3*H93)*(1-L93)),4)</f>
        <v>7.8200000000000006E-2</v>
      </c>
      <c r="P93" s="7">
        <f>ROUND((((D93*(3.6*E93*F93*G93/H93)*I93*J93*K93)*(1-L93)/1000)),4)</f>
        <v>3.8999999999999998E-3</v>
      </c>
      <c r="Q93" s="25"/>
      <c r="R93" s="25"/>
      <c r="S93" s="5">
        <v>30</v>
      </c>
      <c r="T93" s="5">
        <f>2124*0.6</f>
        <v>1274.3999999999999</v>
      </c>
      <c r="U93" s="1"/>
      <c r="V93" s="1"/>
    </row>
    <row r="94" spans="1:22" ht="15" customHeight="1" x14ac:dyDescent="0.25">
      <c r="A94" s="1136" t="s">
        <v>455</v>
      </c>
      <c r="B94" s="1188"/>
      <c r="C94" s="1188"/>
      <c r="D94" s="1188"/>
      <c r="E94" s="1188"/>
      <c r="F94" s="1188"/>
      <c r="G94" s="1188"/>
      <c r="H94" s="1188"/>
      <c r="I94" s="1188"/>
      <c r="J94" s="1188"/>
      <c r="K94" s="1188"/>
      <c r="L94" s="1189"/>
      <c r="M94" s="194" t="s">
        <v>16</v>
      </c>
      <c r="N94" s="194">
        <v>2908</v>
      </c>
      <c r="O94" s="571">
        <f>O92+O93</f>
        <v>0.20860000000000001</v>
      </c>
      <c r="P94" s="571">
        <f>P92+P93</f>
        <v>1.0499999999999999E-2</v>
      </c>
      <c r="Q94" s="854">
        <f>O70+O74+O78+O82+O86+O90+O94</f>
        <v>1.3902000000000001</v>
      </c>
      <c r="R94" s="855">
        <f>P70+P74+P78+P82+P86+P90+P94</f>
        <v>0.24340000000000003</v>
      </c>
      <c r="S94" s="861">
        <v>2027</v>
      </c>
      <c r="T94" s="5"/>
      <c r="U94" s="1"/>
      <c r="V94" s="1"/>
    </row>
    <row r="95" spans="1:22" ht="15" customHeight="1" x14ac:dyDescent="0.25">
      <c r="A95" s="1155" t="s">
        <v>60</v>
      </c>
      <c r="B95" s="1156"/>
      <c r="C95" s="1156"/>
      <c r="D95" s="1156"/>
      <c r="E95" s="1156"/>
      <c r="F95" s="1156"/>
      <c r="G95" s="1156"/>
      <c r="H95" s="1156"/>
      <c r="I95" s="1156"/>
      <c r="J95" s="1156"/>
      <c r="K95" s="1156"/>
      <c r="L95" s="1156"/>
      <c r="M95" s="1156"/>
      <c r="N95" s="1156"/>
      <c r="O95" s="1156"/>
      <c r="P95" s="1157"/>
      <c r="Q95" s="845"/>
      <c r="R95" s="845"/>
    </row>
    <row r="96" spans="1:22" ht="15" customHeight="1" x14ac:dyDescent="0.25">
      <c r="A96" s="1171" t="s">
        <v>204</v>
      </c>
      <c r="B96" s="1172"/>
      <c r="C96" s="1172"/>
      <c r="D96" s="1172"/>
      <c r="E96" s="1172"/>
      <c r="F96" s="1172"/>
      <c r="G96" s="1172"/>
      <c r="H96" s="1172"/>
      <c r="I96" s="1172"/>
      <c r="J96" s="1172"/>
      <c r="K96" s="1172"/>
      <c r="L96" s="1172"/>
      <c r="M96" s="1172"/>
      <c r="N96" s="1172"/>
      <c r="O96" s="1172"/>
      <c r="P96" s="1173"/>
      <c r="Q96" s="845"/>
      <c r="R96" s="845"/>
    </row>
    <row r="97" spans="1:25" ht="15" customHeight="1" x14ac:dyDescent="0.25">
      <c r="A97" s="1193" t="s">
        <v>381</v>
      </c>
      <c r="B97" s="1190" t="s">
        <v>323</v>
      </c>
      <c r="C97" s="1192" t="s">
        <v>207</v>
      </c>
      <c r="D97" s="7">
        <v>6.3</v>
      </c>
      <c r="E97" s="7">
        <v>1.97</v>
      </c>
      <c r="F97" s="7">
        <v>1</v>
      </c>
      <c r="G97" s="7">
        <v>0.7</v>
      </c>
      <c r="H97" s="7">
        <v>30</v>
      </c>
      <c r="I97" s="7">
        <f>ROUND((T97/S97),0)</f>
        <v>1</v>
      </c>
      <c r="J97" s="7">
        <v>1.4</v>
      </c>
      <c r="K97" s="7">
        <v>0.1</v>
      </c>
      <c r="L97" s="7">
        <v>0</v>
      </c>
      <c r="M97" s="8" t="s">
        <v>16</v>
      </c>
      <c r="N97" s="8">
        <v>2908</v>
      </c>
      <c r="O97" s="7">
        <f>ROUND((D97*E97*F97*G97*J97*K97/(1/3*H97)*(1-L97)),4)</f>
        <v>0.1216</v>
      </c>
      <c r="P97" s="7">
        <f>ROUND((((D97*(3.6*E97*F97*G97/H97)*I97*J97*K97)*(1-L97)/1000)),4)</f>
        <v>1E-4</v>
      </c>
      <c r="Q97" s="102"/>
      <c r="R97" s="102"/>
      <c r="S97" s="3">
        <v>5</v>
      </c>
      <c r="T97" s="3">
        <f>12.5*0.4</f>
        <v>5</v>
      </c>
    </row>
    <row r="98" spans="1:25" ht="15" customHeight="1" x14ac:dyDescent="0.25">
      <c r="A98" s="1194"/>
      <c r="B98" s="1191"/>
      <c r="C98" s="1191"/>
      <c r="D98" s="7">
        <v>6.3</v>
      </c>
      <c r="E98" s="7">
        <v>1.97</v>
      </c>
      <c r="F98" s="7">
        <v>1.4</v>
      </c>
      <c r="G98" s="7">
        <v>0.7</v>
      </c>
      <c r="H98" s="7">
        <v>70</v>
      </c>
      <c r="I98" s="7">
        <f>ROUND((T98/S98),0)</f>
        <v>2</v>
      </c>
      <c r="J98" s="7">
        <v>1.4</v>
      </c>
      <c r="K98" s="7">
        <v>0.1</v>
      </c>
      <c r="L98" s="7">
        <v>0</v>
      </c>
      <c r="M98" s="8" t="s">
        <v>16</v>
      </c>
      <c r="N98" s="8">
        <v>2908</v>
      </c>
      <c r="O98" s="7">
        <f>ROUND((D98*E98*F98*G98*J98*K98/(1/3*H98)*(1-L98)),4)</f>
        <v>7.2999999999999995E-2</v>
      </c>
      <c r="P98" s="7">
        <f>ROUND((((D98*(3.6*E98*F98*G98/H98)*I98*J98*K98)*(1-L98)/1000)),4)</f>
        <v>2.0000000000000001E-4</v>
      </c>
      <c r="Q98" s="102"/>
      <c r="R98" s="102"/>
      <c r="S98" s="3">
        <v>5</v>
      </c>
      <c r="T98" s="3">
        <f>12.5*0.6</f>
        <v>7.5</v>
      </c>
    </row>
    <row r="99" spans="1:25" ht="15" customHeight="1" x14ac:dyDescent="0.25">
      <c r="A99" s="1136" t="s">
        <v>382</v>
      </c>
      <c r="B99" s="1188"/>
      <c r="C99" s="1188"/>
      <c r="D99" s="1188"/>
      <c r="E99" s="1188"/>
      <c r="F99" s="1188"/>
      <c r="G99" s="1188"/>
      <c r="H99" s="1188"/>
      <c r="I99" s="1188"/>
      <c r="J99" s="1188"/>
      <c r="K99" s="1188"/>
      <c r="L99" s="1189"/>
      <c r="M99" s="194" t="s">
        <v>16</v>
      </c>
      <c r="N99" s="194">
        <v>2908</v>
      </c>
      <c r="O99" s="571">
        <f>O97+O98</f>
        <v>0.1946</v>
      </c>
      <c r="P99" s="571">
        <f>P97+P98</f>
        <v>3.0000000000000003E-4</v>
      </c>
      <c r="Q99" s="103"/>
      <c r="R99" s="103"/>
    </row>
    <row r="100" spans="1:25" ht="15" customHeight="1" x14ac:dyDescent="0.25">
      <c r="A100" s="1171" t="s">
        <v>210</v>
      </c>
      <c r="B100" s="1172"/>
      <c r="C100" s="1172"/>
      <c r="D100" s="1172"/>
      <c r="E100" s="1172"/>
      <c r="F100" s="1172"/>
      <c r="G100" s="1172"/>
      <c r="H100" s="1172"/>
      <c r="I100" s="1172"/>
      <c r="J100" s="1172"/>
      <c r="K100" s="1172"/>
      <c r="L100" s="1172"/>
      <c r="M100" s="1172"/>
      <c r="N100" s="1172"/>
      <c r="O100" s="1172"/>
      <c r="P100" s="1173"/>
      <c r="Q100" s="845"/>
      <c r="R100" s="845"/>
      <c r="S100" s="4"/>
      <c r="T100" s="4"/>
      <c r="U100" s="2"/>
      <c r="V100" s="2"/>
    </row>
    <row r="101" spans="1:25" ht="15" customHeight="1" x14ac:dyDescent="0.25">
      <c r="A101" s="1193" t="s">
        <v>387</v>
      </c>
      <c r="B101" s="1190" t="s">
        <v>323</v>
      </c>
      <c r="C101" s="1192" t="s">
        <v>207</v>
      </c>
      <c r="D101" s="7">
        <v>6.3</v>
      </c>
      <c r="E101" s="7">
        <v>1.97</v>
      </c>
      <c r="F101" s="7">
        <v>1</v>
      </c>
      <c r="G101" s="7">
        <v>0.7</v>
      </c>
      <c r="H101" s="7">
        <v>30</v>
      </c>
      <c r="I101" s="7">
        <f>ROUND((T101/S101),0)</f>
        <v>17</v>
      </c>
      <c r="J101" s="7">
        <v>1.4</v>
      </c>
      <c r="K101" s="7">
        <v>0.1</v>
      </c>
      <c r="L101" s="7">
        <v>0</v>
      </c>
      <c r="M101" s="8" t="s">
        <v>16</v>
      </c>
      <c r="N101" s="8">
        <v>2908</v>
      </c>
      <c r="O101" s="7">
        <f>ROUND((D101*E101*F101*G101*J101*K101/(1/3*H101)*(1-L101)),4)</f>
        <v>0.1216</v>
      </c>
      <c r="P101" s="7">
        <f>ROUND((((D101*(3.6*E101*F101*G101/H101)*I101*J101*K101)*(1-L101)/1000)),4)</f>
        <v>2.5000000000000001E-3</v>
      </c>
      <c r="Q101" s="102"/>
      <c r="R101" s="102"/>
      <c r="S101" s="5">
        <v>10</v>
      </c>
      <c r="T101" s="5">
        <f>428.1*0.4</f>
        <v>171.24</v>
      </c>
      <c r="U101" s="1"/>
      <c r="V101" s="1"/>
    </row>
    <row r="102" spans="1:25" ht="15" customHeight="1" x14ac:dyDescent="0.25">
      <c r="A102" s="1194"/>
      <c r="B102" s="1191"/>
      <c r="C102" s="1191"/>
      <c r="D102" s="7">
        <v>6.3</v>
      </c>
      <c r="E102" s="7">
        <v>1.97</v>
      </c>
      <c r="F102" s="7">
        <v>1.4</v>
      </c>
      <c r="G102" s="7">
        <v>0.7</v>
      </c>
      <c r="H102" s="7">
        <v>70</v>
      </c>
      <c r="I102" s="7">
        <f>ROUND((T102/S102),0)</f>
        <v>26</v>
      </c>
      <c r="J102" s="7">
        <v>1.4</v>
      </c>
      <c r="K102" s="7">
        <v>0.1</v>
      </c>
      <c r="L102" s="7">
        <v>0</v>
      </c>
      <c r="M102" s="8" t="s">
        <v>16</v>
      </c>
      <c r="N102" s="8">
        <v>2908</v>
      </c>
      <c r="O102" s="7">
        <f>ROUND((D102*E102*F102*G102*J102*K102/(1/3*H102)*(1-L102)),4)</f>
        <v>7.2999999999999995E-2</v>
      </c>
      <c r="P102" s="7">
        <f>ROUND((((D102*(3.6*E102*F102*G102/H102)*I102*J102*K102)*(1-L102)/1000)),4)</f>
        <v>2.3E-3</v>
      </c>
      <c r="Q102" s="102"/>
      <c r="R102" s="102"/>
      <c r="S102" s="5">
        <v>10</v>
      </c>
      <c r="T102" s="5">
        <f>428.1*0.6</f>
        <v>256.86</v>
      </c>
      <c r="U102" s="1"/>
      <c r="V102" s="1"/>
    </row>
    <row r="103" spans="1:25" ht="15" customHeight="1" x14ac:dyDescent="0.25">
      <c r="A103" s="1136" t="s">
        <v>388</v>
      </c>
      <c r="B103" s="1188"/>
      <c r="C103" s="1188"/>
      <c r="D103" s="1188"/>
      <c r="E103" s="1188"/>
      <c r="F103" s="1188"/>
      <c r="G103" s="1188"/>
      <c r="H103" s="1188"/>
      <c r="I103" s="1188"/>
      <c r="J103" s="1188"/>
      <c r="K103" s="1188"/>
      <c r="L103" s="1189"/>
      <c r="M103" s="194" t="s">
        <v>16</v>
      </c>
      <c r="N103" s="194">
        <v>2908</v>
      </c>
      <c r="O103" s="571">
        <f>O101+O102</f>
        <v>0.1946</v>
      </c>
      <c r="P103" s="571">
        <f>P101+P102</f>
        <v>4.8000000000000004E-3</v>
      </c>
      <c r="Q103" s="103"/>
      <c r="R103" s="103"/>
      <c r="S103" s="5"/>
      <c r="T103" s="5"/>
      <c r="U103" s="1"/>
      <c r="V103" s="1"/>
      <c r="Y103" t="s">
        <v>918</v>
      </c>
    </row>
    <row r="104" spans="1:25" ht="15" customHeight="1" x14ac:dyDescent="0.25">
      <c r="A104" s="1171" t="s">
        <v>213</v>
      </c>
      <c r="B104" s="1172"/>
      <c r="C104" s="1172"/>
      <c r="D104" s="1172"/>
      <c r="E104" s="1172"/>
      <c r="F104" s="1172"/>
      <c r="G104" s="1172"/>
      <c r="H104" s="1172"/>
      <c r="I104" s="1172"/>
      <c r="J104" s="1172"/>
      <c r="K104" s="1172"/>
      <c r="L104" s="1172"/>
      <c r="M104" s="1172"/>
      <c r="N104" s="1172"/>
      <c r="O104" s="1172"/>
      <c r="P104" s="1173"/>
      <c r="Q104" s="845"/>
      <c r="R104" s="845"/>
    </row>
    <row r="105" spans="1:25" ht="15" customHeight="1" x14ac:dyDescent="0.25">
      <c r="A105" s="1193" t="s">
        <v>393</v>
      </c>
      <c r="B105" s="1190" t="s">
        <v>323</v>
      </c>
      <c r="C105" s="1192" t="s">
        <v>207</v>
      </c>
      <c r="D105" s="7">
        <v>6.3</v>
      </c>
      <c r="E105" s="7">
        <v>1.97</v>
      </c>
      <c r="F105" s="7">
        <v>1</v>
      </c>
      <c r="G105" s="7">
        <v>0.7</v>
      </c>
      <c r="H105" s="7">
        <v>30</v>
      </c>
      <c r="I105" s="7">
        <f>ROUND((T105/S105),0)</f>
        <v>65</v>
      </c>
      <c r="J105" s="7">
        <v>1.4</v>
      </c>
      <c r="K105" s="7">
        <v>0.1</v>
      </c>
      <c r="L105" s="7">
        <v>0</v>
      </c>
      <c r="M105" s="8" t="s">
        <v>16</v>
      </c>
      <c r="N105" s="8">
        <v>2908</v>
      </c>
      <c r="O105" s="7">
        <f>ROUND((D105*E105*F105*G105*J105*K105/(1/3*H105)*(1-L105)),4)</f>
        <v>0.1216</v>
      </c>
      <c r="P105" s="7">
        <f>ROUND((((D105*(3.6*E105*F105*G105/H105)*I105*J105*K105)*(1-L105)/1000)),4)</f>
        <v>9.4999999999999998E-3</v>
      </c>
      <c r="Q105" s="102"/>
      <c r="R105" s="102"/>
      <c r="S105" s="3">
        <v>10</v>
      </c>
      <c r="T105" s="3">
        <f>1626.7*0.4</f>
        <v>650.68000000000006</v>
      </c>
    </row>
    <row r="106" spans="1:25" ht="15" customHeight="1" x14ac:dyDescent="0.25">
      <c r="A106" s="1194"/>
      <c r="B106" s="1191"/>
      <c r="C106" s="1191"/>
      <c r="D106" s="7">
        <v>6.3</v>
      </c>
      <c r="E106" s="7">
        <v>1.97</v>
      </c>
      <c r="F106" s="7">
        <v>1.4</v>
      </c>
      <c r="G106" s="7">
        <v>0.7</v>
      </c>
      <c r="H106" s="7">
        <v>70</v>
      </c>
      <c r="I106" s="7">
        <f>ROUND((T106/S106),0)</f>
        <v>98</v>
      </c>
      <c r="J106" s="7">
        <v>1.4</v>
      </c>
      <c r="K106" s="7">
        <v>0.1</v>
      </c>
      <c r="L106" s="7">
        <v>0</v>
      </c>
      <c r="M106" s="8" t="s">
        <v>16</v>
      </c>
      <c r="N106" s="8">
        <v>2908</v>
      </c>
      <c r="O106" s="7">
        <f>ROUND((D106*E106*F106*G106*J106*K106/(1/3*H106)*(1-L106)),4)</f>
        <v>7.2999999999999995E-2</v>
      </c>
      <c r="P106" s="7">
        <f>ROUND((((D106*(3.6*E106*F106*G106/H106)*I106*J106*K106)*(1-L106)/1000)),4)</f>
        <v>8.6E-3</v>
      </c>
      <c r="Q106" s="102"/>
      <c r="R106" s="102"/>
      <c r="S106" s="3">
        <v>10</v>
      </c>
      <c r="T106" s="3">
        <f>1626.7*0.6</f>
        <v>976.02</v>
      </c>
    </row>
    <row r="107" spans="1:25" ht="15" customHeight="1" x14ac:dyDescent="0.25">
      <c r="A107" s="1136" t="s">
        <v>394</v>
      </c>
      <c r="B107" s="1188"/>
      <c r="C107" s="1188"/>
      <c r="D107" s="1188"/>
      <c r="E107" s="1188"/>
      <c r="F107" s="1188"/>
      <c r="G107" s="1188"/>
      <c r="H107" s="1188"/>
      <c r="I107" s="1188"/>
      <c r="J107" s="1188"/>
      <c r="K107" s="1188"/>
      <c r="L107" s="1189"/>
      <c r="M107" s="194" t="s">
        <v>16</v>
      </c>
      <c r="N107" s="194">
        <v>2908</v>
      </c>
      <c r="O107" s="571">
        <f>O105+O106</f>
        <v>0.1946</v>
      </c>
      <c r="P107" s="571">
        <f>P105+P106</f>
        <v>1.8099999999999998E-2</v>
      </c>
      <c r="Q107" s="103"/>
      <c r="R107" s="103"/>
    </row>
    <row r="108" spans="1:25" ht="15" customHeight="1" x14ac:dyDescent="0.25">
      <c r="A108" s="1171" t="s">
        <v>255</v>
      </c>
      <c r="B108" s="1172"/>
      <c r="C108" s="1172"/>
      <c r="D108" s="1172"/>
      <c r="E108" s="1172"/>
      <c r="F108" s="1172"/>
      <c r="G108" s="1172"/>
      <c r="H108" s="1172"/>
      <c r="I108" s="1172"/>
      <c r="J108" s="1172"/>
      <c r="K108" s="1172"/>
      <c r="L108" s="1172"/>
      <c r="M108" s="1172"/>
      <c r="N108" s="1172"/>
      <c r="O108" s="1172"/>
      <c r="P108" s="1173"/>
      <c r="Q108" s="845"/>
      <c r="R108" s="845"/>
    </row>
    <row r="109" spans="1:25" ht="15" customHeight="1" x14ac:dyDescent="0.25">
      <c r="A109" s="1193" t="s">
        <v>435</v>
      </c>
      <c r="B109" s="1190" t="s">
        <v>18</v>
      </c>
      <c r="C109" s="1192" t="s">
        <v>10</v>
      </c>
      <c r="D109" s="7">
        <v>6.3</v>
      </c>
      <c r="E109" s="7">
        <v>1.76</v>
      </c>
      <c r="F109" s="7">
        <v>1</v>
      </c>
      <c r="G109" s="7">
        <v>0.84</v>
      </c>
      <c r="H109" s="7">
        <v>30</v>
      </c>
      <c r="I109" s="7">
        <f>ROUND((T109/S109),0)</f>
        <v>51</v>
      </c>
      <c r="J109" s="7">
        <v>1.4</v>
      </c>
      <c r="K109" s="7">
        <v>0.1</v>
      </c>
      <c r="L109" s="7">
        <v>0</v>
      </c>
      <c r="M109" s="8" t="s">
        <v>16</v>
      </c>
      <c r="N109" s="8">
        <v>2908</v>
      </c>
      <c r="O109" s="7">
        <f>ROUND((D109*E109*F109*G109*J109*K109/(1/3*H109)*(1-L109)),4)</f>
        <v>0.13039999999999999</v>
      </c>
      <c r="P109" s="7">
        <f>ROUND((((D109*(3.6*E109*F109*G109/H109)*I109*J109*K109)*(1-L109)/1000)),4)</f>
        <v>8.0000000000000002E-3</v>
      </c>
      <c r="Q109" s="102"/>
      <c r="R109" s="102"/>
      <c r="S109" s="3">
        <v>20</v>
      </c>
      <c r="T109" s="3">
        <f>2537*0.4</f>
        <v>1014.8000000000001</v>
      </c>
    </row>
    <row r="110" spans="1:25" ht="15" customHeight="1" x14ac:dyDescent="0.25">
      <c r="A110" s="1194"/>
      <c r="B110" s="1191"/>
      <c r="C110" s="1191"/>
      <c r="D110" s="7">
        <v>6.3</v>
      </c>
      <c r="E110" s="7">
        <v>1.76</v>
      </c>
      <c r="F110" s="7">
        <v>1.4</v>
      </c>
      <c r="G110" s="7">
        <v>0.84</v>
      </c>
      <c r="H110" s="7">
        <v>70</v>
      </c>
      <c r="I110" s="7">
        <f>ROUND((T110/S110),0)</f>
        <v>76</v>
      </c>
      <c r="J110" s="7">
        <v>1.4</v>
      </c>
      <c r="K110" s="7">
        <v>0.1</v>
      </c>
      <c r="L110" s="7">
        <v>0</v>
      </c>
      <c r="M110" s="8" t="s">
        <v>16</v>
      </c>
      <c r="N110" s="8">
        <v>2908</v>
      </c>
      <c r="O110" s="7">
        <f>ROUND((D110*E110*F110*G110*J110*K110/(1/3*H110)*(1-L110)),4)</f>
        <v>7.8200000000000006E-2</v>
      </c>
      <c r="P110" s="7">
        <f>ROUND((((D110*(3.6*E110*F110*G110/H110)*I110*J110*K110)*(1-L110)/1000)),4)</f>
        <v>7.1000000000000004E-3</v>
      </c>
      <c r="Q110" s="102"/>
      <c r="R110" s="102"/>
      <c r="S110" s="3">
        <v>20</v>
      </c>
      <c r="T110" s="3">
        <f>2537*0.6</f>
        <v>1522.2</v>
      </c>
    </row>
    <row r="111" spans="1:25" ht="15" customHeight="1" x14ac:dyDescent="0.25">
      <c r="A111" s="1136" t="s">
        <v>436</v>
      </c>
      <c r="B111" s="1188"/>
      <c r="C111" s="1188"/>
      <c r="D111" s="1188"/>
      <c r="E111" s="1188"/>
      <c r="F111" s="1188"/>
      <c r="G111" s="1188"/>
      <c r="H111" s="1188"/>
      <c r="I111" s="1188"/>
      <c r="J111" s="1188"/>
      <c r="K111" s="1188"/>
      <c r="L111" s="1189"/>
      <c r="M111" s="194" t="s">
        <v>16</v>
      </c>
      <c r="N111" s="194">
        <v>2908</v>
      </c>
      <c r="O111" s="571">
        <f>O109+O110</f>
        <v>0.20860000000000001</v>
      </c>
      <c r="P111" s="571">
        <f>P109+P110</f>
        <v>1.5100000000000001E-2</v>
      </c>
      <c r="Q111" s="103"/>
      <c r="R111" s="103"/>
    </row>
    <row r="112" spans="1:25" ht="15" customHeight="1" x14ac:dyDescent="0.25">
      <c r="A112" s="1171" t="s">
        <v>261</v>
      </c>
      <c r="B112" s="1172"/>
      <c r="C112" s="1172"/>
      <c r="D112" s="1172"/>
      <c r="E112" s="1172"/>
      <c r="F112" s="1172"/>
      <c r="G112" s="1172"/>
      <c r="H112" s="1172"/>
      <c r="I112" s="1172"/>
      <c r="J112" s="1172"/>
      <c r="K112" s="1172"/>
      <c r="L112" s="1172"/>
      <c r="M112" s="1172"/>
      <c r="N112" s="1172"/>
      <c r="O112" s="1172"/>
      <c r="P112" s="1173"/>
      <c r="Q112" s="845"/>
      <c r="R112" s="845"/>
      <c r="W112" s="1"/>
    </row>
    <row r="113" spans="1:413" ht="15" customHeight="1" x14ac:dyDescent="0.25">
      <c r="A113" s="1193" t="s">
        <v>462</v>
      </c>
      <c r="B113" s="1190" t="s">
        <v>323</v>
      </c>
      <c r="C113" s="1192" t="s">
        <v>207</v>
      </c>
      <c r="D113" s="7">
        <v>6.3</v>
      </c>
      <c r="E113" s="7">
        <v>1.97</v>
      </c>
      <c r="F113" s="7">
        <v>1</v>
      </c>
      <c r="G113" s="7">
        <v>0.7</v>
      </c>
      <c r="H113" s="7">
        <v>30</v>
      </c>
      <c r="I113" s="7">
        <f>ROUND((T113/S113),0)</f>
        <v>41</v>
      </c>
      <c r="J113" s="7">
        <v>1.4</v>
      </c>
      <c r="K113" s="7">
        <v>0.1</v>
      </c>
      <c r="L113" s="7">
        <v>0</v>
      </c>
      <c r="M113" s="8" t="s">
        <v>16</v>
      </c>
      <c r="N113" s="8">
        <v>2908</v>
      </c>
      <c r="O113" s="7">
        <f>ROUND((D113*E113*F113*G113*J113*K113/(1/3*H113)*(1-L113)),4)</f>
        <v>0.1216</v>
      </c>
      <c r="P113" s="7">
        <f>ROUND((((D113*(3.6*E113*F113*G113/H113)*I113*J113*K113)*(1-L113)/1000)),4)</f>
        <v>6.0000000000000001E-3</v>
      </c>
      <c r="Q113" s="102"/>
      <c r="R113" s="102"/>
      <c r="S113" s="3">
        <v>10</v>
      </c>
      <c r="T113" s="3">
        <f>1014.9*0.4</f>
        <v>405.96000000000004</v>
      </c>
      <c r="W113" s="1"/>
    </row>
    <row r="114" spans="1:413" ht="15" customHeight="1" x14ac:dyDescent="0.25">
      <c r="A114" s="1194"/>
      <c r="B114" s="1191"/>
      <c r="C114" s="1191"/>
      <c r="D114" s="7">
        <v>6.3</v>
      </c>
      <c r="E114" s="7">
        <v>1.97</v>
      </c>
      <c r="F114" s="7">
        <v>1.4</v>
      </c>
      <c r="G114" s="7">
        <v>0.7</v>
      </c>
      <c r="H114" s="7">
        <v>70</v>
      </c>
      <c r="I114" s="7">
        <f>ROUND((T114/S114),0)</f>
        <v>61</v>
      </c>
      <c r="J114" s="7">
        <v>1.4</v>
      </c>
      <c r="K114" s="7">
        <v>0.1</v>
      </c>
      <c r="L114" s="7">
        <v>0</v>
      </c>
      <c r="M114" s="8" t="s">
        <v>16</v>
      </c>
      <c r="N114" s="8">
        <v>2908</v>
      </c>
      <c r="O114" s="7">
        <f>ROUND((D114*E114*F114*G114*J114*K114/(1/3*H114)*(1-L114)),4)</f>
        <v>7.2999999999999995E-2</v>
      </c>
      <c r="P114" s="7">
        <f>ROUND((((D114*(3.6*E114*F114*G114/H114)*I114*J114*K114)*(1-L114)/1000)),4)</f>
        <v>5.3E-3</v>
      </c>
      <c r="Q114" s="102"/>
      <c r="R114" s="102"/>
      <c r="S114" s="3">
        <v>10</v>
      </c>
      <c r="T114" s="3">
        <f>1014.9*0.6</f>
        <v>608.93999999999994</v>
      </c>
      <c r="W114" s="1"/>
    </row>
    <row r="115" spans="1:413" ht="15" customHeight="1" x14ac:dyDescent="0.25">
      <c r="A115" s="1136" t="s">
        <v>463</v>
      </c>
      <c r="B115" s="1188"/>
      <c r="C115" s="1188"/>
      <c r="D115" s="1188"/>
      <c r="E115" s="1188"/>
      <c r="F115" s="1188"/>
      <c r="G115" s="1188"/>
      <c r="H115" s="1188"/>
      <c r="I115" s="1188"/>
      <c r="J115" s="1188"/>
      <c r="K115" s="1188"/>
      <c r="L115" s="1189"/>
      <c r="M115" s="194" t="s">
        <v>16</v>
      </c>
      <c r="N115" s="194">
        <v>2908</v>
      </c>
      <c r="O115" s="571">
        <f>O113+O114</f>
        <v>0.1946</v>
      </c>
      <c r="P115" s="571">
        <f>P113+P114</f>
        <v>1.1300000000000001E-2</v>
      </c>
      <c r="Q115" s="103"/>
      <c r="R115" s="103"/>
      <c r="W115" s="1"/>
    </row>
    <row r="116" spans="1:413" ht="15" customHeight="1" x14ac:dyDescent="0.25">
      <c r="A116" s="1171" t="s">
        <v>302</v>
      </c>
      <c r="B116" s="1172"/>
      <c r="C116" s="1172"/>
      <c r="D116" s="1172"/>
      <c r="E116" s="1172"/>
      <c r="F116" s="1172"/>
      <c r="G116" s="1172"/>
      <c r="H116" s="1172"/>
      <c r="I116" s="1172"/>
      <c r="J116" s="1172"/>
      <c r="K116" s="1172"/>
      <c r="L116" s="1172"/>
      <c r="M116" s="1172"/>
      <c r="N116" s="1172"/>
      <c r="O116" s="1172"/>
      <c r="P116" s="1173"/>
      <c r="Q116" s="845"/>
      <c r="R116" s="845"/>
    </row>
    <row r="117" spans="1:413" ht="15" customHeight="1" x14ac:dyDescent="0.25">
      <c r="A117" s="1193" t="s">
        <v>512</v>
      </c>
      <c r="B117" s="1190" t="s">
        <v>18</v>
      </c>
      <c r="C117" s="1192" t="s">
        <v>10</v>
      </c>
      <c r="D117" s="7">
        <v>6.3</v>
      </c>
      <c r="E117" s="7">
        <v>1.76</v>
      </c>
      <c r="F117" s="7">
        <v>1</v>
      </c>
      <c r="G117" s="7">
        <v>0.84</v>
      </c>
      <c r="H117" s="7">
        <v>30</v>
      </c>
      <c r="I117" s="7">
        <f>ROUND((T117/S117),0)</f>
        <v>71</v>
      </c>
      <c r="J117" s="7">
        <v>1.4</v>
      </c>
      <c r="K117" s="7">
        <v>0.1</v>
      </c>
      <c r="L117" s="7">
        <v>0</v>
      </c>
      <c r="M117" s="8" t="s">
        <v>16</v>
      </c>
      <c r="N117" s="8">
        <v>2908</v>
      </c>
      <c r="O117" s="7">
        <f>ROUND((D117*E117*F117*G117*J117*K117/(1/3*H117)*(1-L117)),4)</f>
        <v>0.13039999999999999</v>
      </c>
      <c r="P117" s="7">
        <f>ROUND((((D117*(3.6*E117*F117*G117/H117)*I117*J117*K117)*(1-L117)/1000)),4)</f>
        <v>1.11E-2</v>
      </c>
      <c r="Q117" s="102"/>
      <c r="R117" s="102"/>
      <c r="S117" s="3">
        <v>20</v>
      </c>
      <c r="T117" s="3">
        <f>3528.4*0.4</f>
        <v>1411.3600000000001</v>
      </c>
    </row>
    <row r="118" spans="1:413" ht="15" customHeight="1" x14ac:dyDescent="0.25">
      <c r="A118" s="1194"/>
      <c r="B118" s="1191"/>
      <c r="C118" s="1191"/>
      <c r="D118" s="7">
        <v>6.3</v>
      </c>
      <c r="E118" s="7">
        <v>1.76</v>
      </c>
      <c r="F118" s="7">
        <v>1.4</v>
      </c>
      <c r="G118" s="7">
        <v>0.84</v>
      </c>
      <c r="H118" s="7">
        <v>70</v>
      </c>
      <c r="I118" s="7">
        <f>ROUND((T118/S118),0)</f>
        <v>106</v>
      </c>
      <c r="J118" s="7">
        <v>1.4</v>
      </c>
      <c r="K118" s="7">
        <v>0.1</v>
      </c>
      <c r="L118" s="7">
        <v>0</v>
      </c>
      <c r="M118" s="8" t="s">
        <v>16</v>
      </c>
      <c r="N118" s="8">
        <v>2908</v>
      </c>
      <c r="O118" s="7">
        <f>ROUND((D118*E118*F118*G118*J118*K118/(1/3*H118)*(1-L118)),4)</f>
        <v>7.8200000000000006E-2</v>
      </c>
      <c r="P118" s="7">
        <f>ROUND((((D118*(3.6*E118*F118*G118/H118)*I118*J118*K118)*(1-L118)/1000)),4)</f>
        <v>0.01</v>
      </c>
      <c r="Q118" s="102"/>
      <c r="R118" s="102"/>
      <c r="S118" s="3">
        <v>20</v>
      </c>
      <c r="T118" s="3">
        <f>3528.4*0.6</f>
        <v>2117.04</v>
      </c>
    </row>
    <row r="119" spans="1:413" s="160" customFormat="1" ht="15" customHeight="1" x14ac:dyDescent="0.25">
      <c r="A119" s="1136" t="s">
        <v>513</v>
      </c>
      <c r="B119" s="1188"/>
      <c r="C119" s="1188"/>
      <c r="D119" s="1188"/>
      <c r="E119" s="1188"/>
      <c r="F119" s="1188"/>
      <c r="G119" s="1188"/>
      <c r="H119" s="1188"/>
      <c r="I119" s="1188"/>
      <c r="J119" s="1188"/>
      <c r="K119" s="1188"/>
      <c r="L119" s="1189"/>
      <c r="M119" s="194" t="s">
        <v>16</v>
      </c>
      <c r="N119" s="194">
        <v>2908</v>
      </c>
      <c r="O119" s="571">
        <f>O117+O118</f>
        <v>0.20860000000000001</v>
      </c>
      <c r="P119" s="571">
        <f>P117+P118</f>
        <v>2.1100000000000001E-2</v>
      </c>
      <c r="Q119" s="849">
        <f>O99+O103+O107+O111+O115+O119</f>
        <v>1.1956</v>
      </c>
      <c r="R119" s="849">
        <f>P99+P103+P107+P111+P115+P119</f>
        <v>7.0700000000000013E-2</v>
      </c>
      <c r="S119" s="849">
        <v>2028</v>
      </c>
      <c r="T119" s="3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  <c r="LX119"/>
      <c r="LY119"/>
      <c r="LZ119"/>
      <c r="MA119"/>
      <c r="MB119"/>
      <c r="MC119"/>
      <c r="MD119"/>
      <c r="ME119"/>
      <c r="MF119"/>
      <c r="MG119"/>
      <c r="MH119"/>
      <c r="MI119"/>
      <c r="MJ119"/>
      <c r="MK119"/>
      <c r="ML119"/>
      <c r="MM119"/>
      <c r="MN119"/>
      <c r="MO119"/>
      <c r="MP119"/>
      <c r="MQ119"/>
      <c r="MR119"/>
      <c r="MS119"/>
      <c r="MT119"/>
      <c r="MU119"/>
      <c r="MV119"/>
      <c r="MW119"/>
      <c r="MX119"/>
      <c r="MY119"/>
      <c r="MZ119"/>
      <c r="NA119"/>
      <c r="NB119"/>
      <c r="NC119"/>
      <c r="ND119"/>
      <c r="NE119"/>
      <c r="NF119"/>
      <c r="NG119"/>
      <c r="NH119"/>
      <c r="NI119"/>
      <c r="NJ119"/>
      <c r="NK11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/>
      <c r="OU119"/>
      <c r="OV119"/>
      <c r="OW119"/>
    </row>
    <row r="120" spans="1:413" ht="15" customHeight="1" x14ac:dyDescent="0.25">
      <c r="A120" s="1155" t="s">
        <v>63</v>
      </c>
      <c r="B120" s="1156"/>
      <c r="C120" s="1156"/>
      <c r="D120" s="1156"/>
      <c r="E120" s="1156"/>
      <c r="F120" s="1156"/>
      <c r="G120" s="1156"/>
      <c r="H120" s="1156"/>
      <c r="I120" s="1156"/>
      <c r="J120" s="1156"/>
      <c r="K120" s="1156"/>
      <c r="L120" s="1156"/>
      <c r="M120" s="1156"/>
      <c r="N120" s="1156"/>
      <c r="O120" s="1156"/>
      <c r="P120" s="1157"/>
      <c r="Q120" s="845"/>
      <c r="R120" s="845"/>
    </row>
    <row r="121" spans="1:413" ht="15" customHeight="1" x14ac:dyDescent="0.25">
      <c r="A121" s="1171" t="s">
        <v>213</v>
      </c>
      <c r="B121" s="1172"/>
      <c r="C121" s="1172"/>
      <c r="D121" s="1172"/>
      <c r="E121" s="1172"/>
      <c r="F121" s="1172"/>
      <c r="G121" s="1172"/>
      <c r="H121" s="1172"/>
      <c r="I121" s="1172"/>
      <c r="J121" s="1172"/>
      <c r="K121" s="1172"/>
      <c r="L121" s="1172"/>
      <c r="M121" s="1172"/>
      <c r="N121" s="1172"/>
      <c r="O121" s="1172"/>
      <c r="P121" s="1173"/>
      <c r="Q121" s="845"/>
      <c r="R121" s="845"/>
    </row>
    <row r="122" spans="1:413" ht="15" customHeight="1" x14ac:dyDescent="0.25">
      <c r="A122" s="1193" t="s">
        <v>393</v>
      </c>
      <c r="B122" s="1190" t="s">
        <v>323</v>
      </c>
      <c r="C122" s="1192" t="s">
        <v>207</v>
      </c>
      <c r="D122" s="7">
        <v>6.3</v>
      </c>
      <c r="E122" s="7">
        <v>1.97</v>
      </c>
      <c r="F122" s="7">
        <v>1</v>
      </c>
      <c r="G122" s="7">
        <v>0.7</v>
      </c>
      <c r="H122" s="7">
        <v>30</v>
      </c>
      <c r="I122" s="7">
        <f>ROUND((T122/S122),0)</f>
        <v>7</v>
      </c>
      <c r="J122" s="7">
        <v>1.4</v>
      </c>
      <c r="K122" s="7">
        <v>0.1</v>
      </c>
      <c r="L122" s="7">
        <v>0</v>
      </c>
      <c r="M122" s="8" t="s">
        <v>16</v>
      </c>
      <c r="N122" s="8">
        <v>2908</v>
      </c>
      <c r="O122" s="7">
        <f>ROUND((D122*E122*F122*G122*J122*K122/(1/3*H122)*(1-L122)),4)</f>
        <v>0.1216</v>
      </c>
      <c r="P122" s="7">
        <f>ROUND((((D122*(3.6*E122*F122*G122/H122)*I122*J122*K122)*(1-L122)/1000)),4)</f>
        <v>1E-3</v>
      </c>
      <c r="Q122" s="102"/>
      <c r="R122" s="102"/>
      <c r="S122" s="3">
        <v>5</v>
      </c>
      <c r="T122" s="3">
        <f>87.5*0.4</f>
        <v>35</v>
      </c>
    </row>
    <row r="123" spans="1:413" ht="15" customHeight="1" x14ac:dyDescent="0.25">
      <c r="A123" s="1194"/>
      <c r="B123" s="1191"/>
      <c r="C123" s="1191"/>
      <c r="D123" s="7">
        <v>6.3</v>
      </c>
      <c r="E123" s="7">
        <v>1.97</v>
      </c>
      <c r="F123" s="7">
        <v>1.4</v>
      </c>
      <c r="G123" s="7">
        <v>0.7</v>
      </c>
      <c r="H123" s="7">
        <v>70</v>
      </c>
      <c r="I123" s="7">
        <f>ROUND((T123/S123),0)</f>
        <v>11</v>
      </c>
      <c r="J123" s="7">
        <v>1.4</v>
      </c>
      <c r="K123" s="7">
        <v>0.1</v>
      </c>
      <c r="L123" s="7">
        <v>0</v>
      </c>
      <c r="M123" s="8" t="s">
        <v>16</v>
      </c>
      <c r="N123" s="8">
        <v>2908</v>
      </c>
      <c r="O123" s="7">
        <f>ROUND((D123*E123*F123*G123*J123*K123/(1/3*H123)*(1-L123)),4)</f>
        <v>7.2999999999999995E-2</v>
      </c>
      <c r="P123" s="7">
        <f>ROUND((((D123*(3.6*E123*F123*G123/H123)*I123*J123*K123)*(1-L123)/1000)),4)</f>
        <v>1E-3</v>
      </c>
      <c r="Q123" s="102"/>
      <c r="R123" s="102"/>
      <c r="S123" s="3">
        <v>5</v>
      </c>
      <c r="T123" s="3">
        <f>87.5*0.6</f>
        <v>52.5</v>
      </c>
    </row>
    <row r="124" spans="1:413" ht="15" customHeight="1" x14ac:dyDescent="0.25">
      <c r="A124" s="1136" t="s">
        <v>394</v>
      </c>
      <c r="B124" s="1188"/>
      <c r="C124" s="1188"/>
      <c r="D124" s="1188"/>
      <c r="E124" s="1188"/>
      <c r="F124" s="1188"/>
      <c r="G124" s="1188"/>
      <c r="H124" s="1188"/>
      <c r="I124" s="1188"/>
      <c r="J124" s="1188"/>
      <c r="K124" s="1188"/>
      <c r="L124" s="1189"/>
      <c r="M124" s="194" t="s">
        <v>16</v>
      </c>
      <c r="N124" s="194">
        <v>2908</v>
      </c>
      <c r="O124" s="571">
        <f>O122+O123</f>
        <v>0.1946</v>
      </c>
      <c r="P124" s="571">
        <f>P122+P123</f>
        <v>2E-3</v>
      </c>
      <c r="Q124" s="103"/>
      <c r="R124" s="103"/>
    </row>
    <row r="125" spans="1:413" ht="15" customHeight="1" x14ac:dyDescent="0.25">
      <c r="A125" s="1171" t="s">
        <v>302</v>
      </c>
      <c r="B125" s="1172"/>
      <c r="C125" s="1172"/>
      <c r="D125" s="1172"/>
      <c r="E125" s="1172"/>
      <c r="F125" s="1172"/>
      <c r="G125" s="1172"/>
      <c r="H125" s="1172"/>
      <c r="I125" s="1172"/>
      <c r="J125" s="1172"/>
      <c r="K125" s="1172"/>
      <c r="L125" s="1172"/>
      <c r="M125" s="1172"/>
      <c r="N125" s="1172"/>
      <c r="O125" s="1172"/>
      <c r="P125" s="1173"/>
      <c r="Q125" s="845"/>
      <c r="R125" s="847"/>
      <c r="S125" s="4"/>
      <c r="T125" s="4"/>
      <c r="U125" s="2"/>
      <c r="V125" s="2"/>
    </row>
    <row r="126" spans="1:413" ht="15" customHeight="1" x14ac:dyDescent="0.25">
      <c r="A126" s="1193" t="s">
        <v>512</v>
      </c>
      <c r="B126" s="1190" t="s">
        <v>18</v>
      </c>
      <c r="C126" s="1192" t="s">
        <v>10</v>
      </c>
      <c r="D126" s="7">
        <v>6.3</v>
      </c>
      <c r="E126" s="7">
        <v>1.76</v>
      </c>
      <c r="F126" s="7">
        <v>1</v>
      </c>
      <c r="G126" s="7">
        <v>0.84</v>
      </c>
      <c r="H126" s="7">
        <v>30</v>
      </c>
      <c r="I126" s="7">
        <f>ROUND((T126/S126),0)</f>
        <v>59</v>
      </c>
      <c r="J126" s="7">
        <v>1.4</v>
      </c>
      <c r="K126" s="7">
        <v>0.1</v>
      </c>
      <c r="L126" s="7">
        <v>0</v>
      </c>
      <c r="M126" s="8" t="s">
        <v>16</v>
      </c>
      <c r="N126" s="8">
        <v>2908</v>
      </c>
      <c r="O126" s="7">
        <f>ROUND((D126*E126*F126*G126*J126*K126/(1/3*H126)*(1-L126)),4)</f>
        <v>0.13039999999999999</v>
      </c>
      <c r="P126" s="7">
        <f>ROUND((((D126*(3.6*E126*F126*G126/H126)*I126*J126*K126)*(1-L126)/1000)),4)</f>
        <v>9.1999999999999998E-3</v>
      </c>
      <c r="Q126" s="102"/>
      <c r="R126" s="25"/>
      <c r="S126" s="5">
        <v>20</v>
      </c>
      <c r="T126" s="5">
        <f>2968.6*0.4</f>
        <v>1187.44</v>
      </c>
      <c r="U126" s="1"/>
      <c r="V126" s="1"/>
      <c r="W126" s="1"/>
    </row>
    <row r="127" spans="1:413" ht="15" customHeight="1" x14ac:dyDescent="0.25">
      <c r="A127" s="1194"/>
      <c r="B127" s="1191"/>
      <c r="C127" s="1191"/>
      <c r="D127" s="7">
        <v>6.3</v>
      </c>
      <c r="E127" s="7">
        <v>1.76</v>
      </c>
      <c r="F127" s="7">
        <v>1.4</v>
      </c>
      <c r="G127" s="7">
        <v>0.84</v>
      </c>
      <c r="H127" s="7">
        <v>70</v>
      </c>
      <c r="I127" s="7">
        <f>ROUND((T127/S127),0)</f>
        <v>89</v>
      </c>
      <c r="J127" s="7">
        <v>1.4</v>
      </c>
      <c r="K127" s="7">
        <v>0.1</v>
      </c>
      <c r="L127" s="7">
        <v>0</v>
      </c>
      <c r="M127" s="8" t="s">
        <v>16</v>
      </c>
      <c r="N127" s="8">
        <v>2908</v>
      </c>
      <c r="O127" s="7">
        <f>ROUND((D127*E127*F127*G127*J127*K127/(1/3*H127)*(1-L127)),4)</f>
        <v>7.8200000000000006E-2</v>
      </c>
      <c r="P127" s="7">
        <f>ROUND((((D127*(3.6*E127*F127*G127/H127)*I127*J127*K127)*(1-L127)/1000)),4)</f>
        <v>8.3999999999999995E-3</v>
      </c>
      <c r="Q127" s="102"/>
      <c r="R127" s="25"/>
      <c r="S127" s="5">
        <v>20</v>
      </c>
      <c r="T127" s="5">
        <f>2968.6*0.6</f>
        <v>1781.1599999999999</v>
      </c>
      <c r="U127" s="1"/>
      <c r="V127" s="1"/>
      <c r="W127" s="1"/>
    </row>
    <row r="128" spans="1:413" ht="15" customHeight="1" x14ac:dyDescent="0.25">
      <c r="A128" s="1136" t="s">
        <v>513</v>
      </c>
      <c r="B128" s="1188"/>
      <c r="C128" s="1188"/>
      <c r="D128" s="1188"/>
      <c r="E128" s="1188"/>
      <c r="F128" s="1188"/>
      <c r="G128" s="1188"/>
      <c r="H128" s="1188"/>
      <c r="I128" s="1188"/>
      <c r="J128" s="1188"/>
      <c r="K128" s="1188"/>
      <c r="L128" s="1189"/>
      <c r="M128" s="194" t="s">
        <v>16</v>
      </c>
      <c r="N128" s="194">
        <v>2908</v>
      </c>
      <c r="O128" s="571">
        <f>O126+O127</f>
        <v>0.20860000000000001</v>
      </c>
      <c r="P128" s="571">
        <f>P126+P127</f>
        <v>1.7599999999999998E-2</v>
      </c>
      <c r="Q128" s="849">
        <f>O124+O128</f>
        <v>0.4032</v>
      </c>
      <c r="R128" s="849">
        <f>P124+P128</f>
        <v>1.9599999999999999E-2</v>
      </c>
      <c r="S128" s="849">
        <v>2029</v>
      </c>
      <c r="T128" s="862"/>
      <c r="U128" s="1"/>
      <c r="V128" s="1"/>
      <c r="W128" s="1"/>
    </row>
  </sheetData>
  <mergeCells count="148">
    <mergeCell ref="A94:L94"/>
    <mergeCell ref="A95:P95"/>
    <mergeCell ref="A88:A89"/>
    <mergeCell ref="B88:B89"/>
    <mergeCell ref="C97:C98"/>
    <mergeCell ref="A97:A98"/>
    <mergeCell ref="B97:B98"/>
    <mergeCell ref="A99:L99"/>
    <mergeCell ref="A101:A102"/>
    <mergeCell ref="B101:B102"/>
    <mergeCell ref="C101:C102"/>
    <mergeCell ref="A82:L82"/>
    <mergeCell ref="C92:C93"/>
    <mergeCell ref="C80:C81"/>
    <mergeCell ref="A83:P83"/>
    <mergeCell ref="A84:A85"/>
    <mergeCell ref="B84:B85"/>
    <mergeCell ref="C84:C85"/>
    <mergeCell ref="A86:L86"/>
    <mergeCell ref="A79:P79"/>
    <mergeCell ref="A80:A81"/>
    <mergeCell ref="B80:B81"/>
    <mergeCell ref="A87:P87"/>
    <mergeCell ref="A91:P91"/>
    <mergeCell ref="A92:A93"/>
    <mergeCell ref="B92:B93"/>
    <mergeCell ref="A90:L90"/>
    <mergeCell ref="A115:L115"/>
    <mergeCell ref="A103:L103"/>
    <mergeCell ref="A108:P108"/>
    <mergeCell ref="A109:A110"/>
    <mergeCell ref="B109:B110"/>
    <mergeCell ref="C109:C110"/>
    <mergeCell ref="B105:B106"/>
    <mergeCell ref="C105:C106"/>
    <mergeCell ref="A107:L107"/>
    <mergeCell ref="A104:P104"/>
    <mergeCell ref="A105:A106"/>
    <mergeCell ref="A112:P112"/>
    <mergeCell ref="A113:A114"/>
    <mergeCell ref="B113:B114"/>
    <mergeCell ref="C113:C114"/>
    <mergeCell ref="A46:P46"/>
    <mergeCell ref="B47:B48"/>
    <mergeCell ref="C47:C48"/>
    <mergeCell ref="A49:L49"/>
    <mergeCell ref="A50:P50"/>
    <mergeCell ref="A51:A52"/>
    <mergeCell ref="B51:B52"/>
    <mergeCell ref="C51:C52"/>
    <mergeCell ref="A57:L57"/>
    <mergeCell ref="A45:L45"/>
    <mergeCell ref="A38:P38"/>
    <mergeCell ref="A128:L128"/>
    <mergeCell ref="A120:P120"/>
    <mergeCell ref="A125:P125"/>
    <mergeCell ref="A126:A127"/>
    <mergeCell ref="B126:B127"/>
    <mergeCell ref="C126:C127"/>
    <mergeCell ref="A121:P121"/>
    <mergeCell ref="A122:A123"/>
    <mergeCell ref="B122:B123"/>
    <mergeCell ref="C122:C123"/>
    <mergeCell ref="A124:L124"/>
    <mergeCell ref="A116:P116"/>
    <mergeCell ref="A117:A118"/>
    <mergeCell ref="B117:B118"/>
    <mergeCell ref="C117:C118"/>
    <mergeCell ref="A119:L119"/>
    <mergeCell ref="A54:P54"/>
    <mergeCell ref="A111:L111"/>
    <mergeCell ref="A96:P96"/>
    <mergeCell ref="A72:A73"/>
    <mergeCell ref="A100:P100"/>
    <mergeCell ref="A47:A48"/>
    <mergeCell ref="A26:P26"/>
    <mergeCell ref="B27:B28"/>
    <mergeCell ref="C27:C28"/>
    <mergeCell ref="A29:L29"/>
    <mergeCell ref="A59:A60"/>
    <mergeCell ref="B59:B60"/>
    <mergeCell ref="C59:C60"/>
    <mergeCell ref="A61:L61"/>
    <mergeCell ref="C88:C89"/>
    <mergeCell ref="B31:B32"/>
    <mergeCell ref="B55:B56"/>
    <mergeCell ref="C55:C56"/>
    <mergeCell ref="A55:A56"/>
    <mergeCell ref="A31:A32"/>
    <mergeCell ref="A39:A40"/>
    <mergeCell ref="A53:L53"/>
    <mergeCell ref="A62:P62"/>
    <mergeCell ref="A63:A64"/>
    <mergeCell ref="B63:B64"/>
    <mergeCell ref="C63:C64"/>
    <mergeCell ref="A65:L65"/>
    <mergeCell ref="A27:A28"/>
    <mergeCell ref="A42:P42"/>
    <mergeCell ref="A43:A44"/>
    <mergeCell ref="B43:B44"/>
    <mergeCell ref="C43:C44"/>
    <mergeCell ref="A30:P30"/>
    <mergeCell ref="B39:B40"/>
    <mergeCell ref="C39:C40"/>
    <mergeCell ref="A41:L41"/>
    <mergeCell ref="C31:C32"/>
    <mergeCell ref="A33:L33"/>
    <mergeCell ref="A34:P34"/>
    <mergeCell ref="A35:A36"/>
    <mergeCell ref="B35:B36"/>
    <mergeCell ref="C35:C36"/>
    <mergeCell ref="A37:L37"/>
    <mergeCell ref="A71:P71"/>
    <mergeCell ref="A66:P66"/>
    <mergeCell ref="A58:P58"/>
    <mergeCell ref="A67:P67"/>
    <mergeCell ref="A68:A69"/>
    <mergeCell ref="B68:B69"/>
    <mergeCell ref="C68:C69"/>
    <mergeCell ref="A70:L70"/>
    <mergeCell ref="A78:L78"/>
    <mergeCell ref="B72:B73"/>
    <mergeCell ref="C72:C73"/>
    <mergeCell ref="A74:L74"/>
    <mergeCell ref="A75:P75"/>
    <mergeCell ref="A76:A77"/>
    <mergeCell ref="B76:B77"/>
    <mergeCell ref="C76:C77"/>
    <mergeCell ref="A1:O1"/>
    <mergeCell ref="A3:O3"/>
    <mergeCell ref="A4:O4"/>
    <mergeCell ref="A7:P7"/>
    <mergeCell ref="A8:O8"/>
    <mergeCell ref="A10:O10"/>
    <mergeCell ref="A11:O11"/>
    <mergeCell ref="A12:O12"/>
    <mergeCell ref="A13:O13"/>
    <mergeCell ref="A6:P6"/>
    <mergeCell ref="A9:O9"/>
    <mergeCell ref="A14:O14"/>
    <mergeCell ref="A15:O15"/>
    <mergeCell ref="A16:O16"/>
    <mergeCell ref="A17:O17"/>
    <mergeCell ref="A20:O20"/>
    <mergeCell ref="A21:P21"/>
    <mergeCell ref="A25:P25"/>
    <mergeCell ref="A24:P24"/>
    <mergeCell ref="A18:O18"/>
  </mergeCells>
  <pageMargins left="0.31496062992125984" right="0.31496062992125984" top="0.74803149606299213" bottom="0.35433070866141736" header="0.31496062992125984" footer="0.31496062992125984"/>
  <pageSetup paperSize="9" firstPageNumber="13" orientation="landscape" useFirstPageNumber="1" r:id="rId1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52EA2-45E1-481A-BDBE-7B51C2BD07BC}">
  <sheetPr>
    <tabColor theme="0"/>
  </sheetPr>
  <dimension ref="A1:DS349"/>
  <sheetViews>
    <sheetView view="pageBreakPreview" topLeftCell="B196" zoomScaleNormal="100" zoomScaleSheetLayoutView="100" workbookViewId="0">
      <selection activeCell="S196" sqref="S1:W1048576"/>
    </sheetView>
  </sheetViews>
  <sheetFormatPr defaultRowHeight="15" x14ac:dyDescent="0.25"/>
  <cols>
    <col min="1" max="1" width="6.85546875" style="47" customWidth="1"/>
    <col min="2" max="2" width="17.5703125" style="47" customWidth="1"/>
    <col min="3" max="3" width="13.140625" style="47" customWidth="1"/>
    <col min="4" max="4" width="6" style="47" customWidth="1"/>
    <col min="5" max="5" width="5.5703125" style="47" customWidth="1"/>
    <col min="6" max="6" width="4.7109375" style="47" customWidth="1"/>
    <col min="7" max="7" width="5.28515625" style="47" customWidth="1"/>
    <col min="8" max="8" width="5.42578125" style="47" customWidth="1"/>
    <col min="9" max="9" width="5" style="47" customWidth="1"/>
    <col min="10" max="10" width="4.7109375" style="47" customWidth="1"/>
    <col min="11" max="11" width="4.85546875" style="47" customWidth="1"/>
    <col min="12" max="12" width="6" style="47" customWidth="1"/>
    <col min="13" max="13" width="8.140625" style="47" customWidth="1"/>
    <col min="14" max="14" width="17" style="47" customWidth="1"/>
    <col min="15" max="16" width="5.7109375" style="47" customWidth="1"/>
    <col min="17" max="17" width="8" style="47" customWidth="1"/>
    <col min="18" max="18" width="10.5703125" style="47" customWidth="1"/>
    <col min="19" max="19" width="9.28515625" style="48" bestFit="1" customWidth="1"/>
    <col min="20" max="20" width="9.5703125" style="48" bestFit="1" customWidth="1"/>
    <col min="21" max="23" width="9.140625" style="48"/>
    <col min="24" max="16384" width="9.140625" style="47"/>
  </cols>
  <sheetData>
    <row r="1" spans="1:23" s="61" customFormat="1" ht="18.75" x14ac:dyDescent="0.25">
      <c r="A1" s="1116" t="s">
        <v>775</v>
      </c>
      <c r="B1" s="1116"/>
      <c r="C1" s="1116"/>
      <c r="D1" s="1116"/>
      <c r="E1" s="1116"/>
      <c r="F1" s="1116"/>
      <c r="G1" s="1116"/>
      <c r="H1" s="1116"/>
      <c r="I1" s="1116"/>
      <c r="J1" s="1116"/>
      <c r="K1" s="1116"/>
      <c r="L1" s="1116"/>
      <c r="M1" s="1116"/>
      <c r="N1" s="1116"/>
      <c r="O1" s="1116"/>
      <c r="S1" s="863"/>
      <c r="T1" s="863"/>
      <c r="U1" s="863"/>
      <c r="V1" s="863"/>
      <c r="W1" s="863"/>
    </row>
    <row r="2" spans="1:23" s="61" customFormat="1" ht="12.75" customHeight="1" x14ac:dyDescent="0.25">
      <c r="A2" s="180"/>
      <c r="S2" s="863"/>
      <c r="T2" s="863"/>
      <c r="U2" s="863"/>
      <c r="V2" s="863"/>
      <c r="W2" s="863"/>
    </row>
    <row r="3" spans="1:23" s="62" customFormat="1" ht="15.75" x14ac:dyDescent="0.25">
      <c r="A3" s="1170" t="s">
        <v>611</v>
      </c>
      <c r="B3" s="1170"/>
      <c r="C3" s="1170"/>
      <c r="D3" s="1170"/>
      <c r="E3" s="1170"/>
      <c r="F3" s="1170"/>
      <c r="G3" s="1170"/>
      <c r="H3" s="1170"/>
      <c r="I3" s="1170"/>
      <c r="J3" s="1170"/>
      <c r="K3" s="1170"/>
      <c r="L3" s="1170"/>
      <c r="M3" s="1170"/>
      <c r="N3" s="1170"/>
      <c r="O3" s="1170"/>
      <c r="S3" s="863"/>
      <c r="T3" s="863"/>
      <c r="U3" s="863"/>
      <c r="V3" s="863"/>
      <c r="W3" s="863"/>
    </row>
    <row r="4" spans="1:23" s="62" customFormat="1" ht="15.75" x14ac:dyDescent="0.25">
      <c r="A4" s="1101" t="s">
        <v>612</v>
      </c>
      <c r="B4" s="1101"/>
      <c r="C4" s="1101"/>
      <c r="D4" s="1101"/>
      <c r="E4" s="1101"/>
      <c r="F4" s="1101"/>
      <c r="G4" s="1101"/>
      <c r="H4" s="1101"/>
      <c r="I4" s="1101"/>
      <c r="J4" s="1101"/>
      <c r="K4" s="1101"/>
      <c r="L4" s="1101"/>
      <c r="M4" s="1101"/>
      <c r="N4" s="1101"/>
      <c r="O4" s="1101"/>
      <c r="S4" s="863"/>
      <c r="T4" s="863"/>
      <c r="U4" s="863"/>
      <c r="V4" s="863"/>
      <c r="W4" s="863"/>
    </row>
    <row r="5" spans="1:23" s="61" customFormat="1" ht="18.75" x14ac:dyDescent="0.25">
      <c r="A5" s="180"/>
      <c r="S5" s="863"/>
      <c r="T5" s="863"/>
      <c r="U5" s="863"/>
      <c r="V5" s="863"/>
      <c r="W5" s="863"/>
    </row>
    <row r="6" spans="1:23" s="61" customFormat="1" ht="28.5" customHeight="1" x14ac:dyDescent="0.25">
      <c r="A6" s="1117" t="s">
        <v>761</v>
      </c>
      <c r="B6" s="1117"/>
      <c r="C6" s="1117"/>
      <c r="D6" s="1117"/>
      <c r="E6" s="1117"/>
      <c r="F6" s="1117"/>
      <c r="G6" s="1117"/>
      <c r="H6" s="1117"/>
      <c r="I6" s="1117"/>
      <c r="J6" s="1117"/>
      <c r="K6" s="1117"/>
      <c r="L6" s="1117"/>
      <c r="M6" s="1117"/>
      <c r="N6" s="1117"/>
      <c r="O6" s="1117"/>
      <c r="S6" s="863"/>
      <c r="T6" s="863"/>
      <c r="U6" s="863"/>
      <c r="V6" s="863"/>
      <c r="W6" s="863"/>
    </row>
    <row r="7" spans="1:23" s="61" customFormat="1" ht="25.5" customHeight="1" x14ac:dyDescent="0.25">
      <c r="A7" s="1116" t="s">
        <v>762</v>
      </c>
      <c r="B7" s="1116"/>
      <c r="C7" s="1116"/>
      <c r="D7" s="1116"/>
      <c r="E7" s="1116"/>
      <c r="F7" s="1116"/>
      <c r="G7" s="1116"/>
      <c r="H7" s="1116"/>
      <c r="I7" s="1116"/>
      <c r="J7" s="1116"/>
      <c r="K7" s="1116"/>
      <c r="L7" s="1116"/>
      <c r="M7" s="1116"/>
      <c r="N7" s="1116"/>
      <c r="O7" s="1116"/>
      <c r="S7" s="863"/>
      <c r="T7" s="863"/>
      <c r="U7" s="863"/>
      <c r="V7" s="863"/>
      <c r="W7" s="863"/>
    </row>
    <row r="8" spans="1:23" s="61" customFormat="1" ht="27.75" customHeight="1" x14ac:dyDescent="0.25">
      <c r="A8" s="1117" t="s">
        <v>763</v>
      </c>
      <c r="B8" s="1117"/>
      <c r="C8" s="1117"/>
      <c r="D8" s="1117"/>
      <c r="E8" s="1117"/>
      <c r="F8" s="1117"/>
      <c r="G8" s="1117"/>
      <c r="H8" s="1117"/>
      <c r="I8" s="1117"/>
      <c r="J8" s="1117"/>
      <c r="K8" s="1117"/>
      <c r="L8" s="1117"/>
      <c r="M8" s="1117"/>
      <c r="N8" s="1117"/>
      <c r="O8" s="1117"/>
      <c r="S8" s="863"/>
      <c r="T8" s="863"/>
      <c r="U8" s="863"/>
      <c r="V8" s="863"/>
      <c r="W8" s="863"/>
    </row>
    <row r="9" spans="1:23" s="61" customFormat="1" ht="25.5" customHeight="1" x14ac:dyDescent="0.25">
      <c r="A9" s="1116" t="s">
        <v>764</v>
      </c>
      <c r="B9" s="1116"/>
      <c r="C9" s="1116"/>
      <c r="D9" s="1116"/>
      <c r="E9" s="1116"/>
      <c r="F9" s="1116"/>
      <c r="G9" s="1116"/>
      <c r="H9" s="1116"/>
      <c r="I9" s="1116"/>
      <c r="J9" s="1116"/>
      <c r="K9" s="1116"/>
      <c r="L9" s="1116"/>
      <c r="M9" s="1116"/>
      <c r="N9" s="1116"/>
      <c r="O9" s="1116"/>
      <c r="S9" s="863"/>
      <c r="T9" s="863"/>
      <c r="U9" s="863"/>
      <c r="V9" s="863"/>
      <c r="W9" s="863"/>
    </row>
    <row r="10" spans="1:23" s="61" customFormat="1" ht="15.75" x14ac:dyDescent="0.25">
      <c r="A10" s="1101" t="s">
        <v>744</v>
      </c>
      <c r="B10" s="1101"/>
      <c r="C10" s="1101"/>
      <c r="D10" s="1101"/>
      <c r="E10" s="1101"/>
      <c r="F10" s="1101"/>
      <c r="G10" s="1101"/>
      <c r="H10" s="1101"/>
      <c r="I10" s="1101"/>
      <c r="J10" s="1101"/>
      <c r="K10" s="1101"/>
      <c r="L10" s="1101"/>
      <c r="M10" s="1101"/>
      <c r="N10" s="1101"/>
      <c r="O10" s="1101"/>
      <c r="S10" s="863"/>
      <c r="T10" s="863"/>
      <c r="U10" s="863"/>
      <c r="V10" s="863"/>
      <c r="W10" s="863"/>
    </row>
    <row r="11" spans="1:23" s="62" customFormat="1" ht="35.1" customHeight="1" x14ac:dyDescent="0.25">
      <c r="A11" s="1101" t="s">
        <v>765</v>
      </c>
      <c r="B11" s="1101"/>
      <c r="C11" s="1101"/>
      <c r="D11" s="1101"/>
      <c r="E11" s="1101"/>
      <c r="F11" s="1101"/>
      <c r="G11" s="1101"/>
      <c r="H11" s="1101"/>
      <c r="I11" s="1101"/>
      <c r="J11" s="1101"/>
      <c r="K11" s="1101"/>
      <c r="L11" s="1101"/>
      <c r="M11" s="1101"/>
      <c r="N11" s="1101"/>
      <c r="O11" s="1101"/>
      <c r="S11" s="863"/>
      <c r="T11" s="863"/>
      <c r="U11" s="863"/>
      <c r="V11" s="863"/>
      <c r="W11" s="863"/>
    </row>
    <row r="12" spans="1:23" s="62" customFormat="1" ht="15.75" x14ac:dyDescent="0.25">
      <c r="A12" s="1101" t="s">
        <v>766</v>
      </c>
      <c r="B12" s="1101"/>
      <c r="C12" s="1101"/>
      <c r="D12" s="1101"/>
      <c r="E12" s="1101"/>
      <c r="F12" s="1101"/>
      <c r="G12" s="1101"/>
      <c r="H12" s="1101"/>
      <c r="I12" s="1101"/>
      <c r="J12" s="1101"/>
      <c r="K12" s="1101"/>
      <c r="L12" s="1101"/>
      <c r="M12" s="1101"/>
      <c r="N12" s="1101"/>
      <c r="O12" s="1101"/>
      <c r="S12" s="863"/>
      <c r="T12" s="863"/>
      <c r="U12" s="863"/>
      <c r="V12" s="863"/>
      <c r="W12" s="863"/>
    </row>
    <row r="13" spans="1:23" s="62" customFormat="1" ht="15.75" x14ac:dyDescent="0.25">
      <c r="A13" s="1101" t="s">
        <v>767</v>
      </c>
      <c r="B13" s="1101"/>
      <c r="C13" s="1101"/>
      <c r="D13" s="1101"/>
      <c r="E13" s="1101"/>
      <c r="F13" s="1101"/>
      <c r="G13" s="1101"/>
      <c r="H13" s="1101"/>
      <c r="I13" s="1101"/>
      <c r="J13" s="1101"/>
      <c r="K13" s="1101"/>
      <c r="L13" s="1101"/>
      <c r="M13" s="1101"/>
      <c r="N13" s="1101"/>
      <c r="O13" s="1101"/>
      <c r="S13" s="863"/>
      <c r="T13" s="863"/>
      <c r="U13" s="863"/>
      <c r="V13" s="863"/>
      <c r="W13" s="863"/>
    </row>
    <row r="14" spans="1:23" s="62" customFormat="1" ht="35.1" customHeight="1" x14ac:dyDescent="0.25">
      <c r="A14" s="1101" t="s">
        <v>768</v>
      </c>
      <c r="B14" s="1101"/>
      <c r="C14" s="1101"/>
      <c r="D14" s="1101"/>
      <c r="E14" s="1101"/>
      <c r="F14" s="1101"/>
      <c r="G14" s="1101"/>
      <c r="H14" s="1101"/>
      <c r="I14" s="1101"/>
      <c r="J14" s="1101"/>
      <c r="K14" s="1101"/>
      <c r="L14" s="1101"/>
      <c r="M14" s="1101"/>
      <c r="N14" s="1101"/>
      <c r="O14" s="1101"/>
      <c r="S14" s="863"/>
      <c r="T14" s="863"/>
      <c r="U14" s="863"/>
      <c r="V14" s="863"/>
      <c r="W14" s="863"/>
    </row>
    <row r="15" spans="1:23" s="62" customFormat="1" ht="15" customHeight="1" x14ac:dyDescent="0.25">
      <c r="A15" s="1101" t="s">
        <v>769</v>
      </c>
      <c r="B15" s="1101"/>
      <c r="C15" s="1101"/>
      <c r="D15" s="1101"/>
      <c r="E15" s="1101"/>
      <c r="F15" s="1101"/>
      <c r="G15" s="1101"/>
      <c r="H15" s="1101"/>
      <c r="I15" s="1101"/>
      <c r="J15" s="1101"/>
      <c r="K15" s="1101"/>
      <c r="L15" s="1101"/>
      <c r="M15" s="1101"/>
      <c r="N15" s="1101"/>
      <c r="O15" s="1101"/>
      <c r="S15" s="863"/>
      <c r="T15" s="863"/>
      <c r="U15" s="863"/>
      <c r="V15" s="863"/>
      <c r="W15" s="863"/>
    </row>
    <row r="16" spans="1:23" s="62" customFormat="1" ht="15" customHeight="1" x14ac:dyDescent="0.25">
      <c r="A16" s="1101" t="s">
        <v>770</v>
      </c>
      <c r="B16" s="1101"/>
      <c r="C16" s="1101"/>
      <c r="D16" s="1101"/>
      <c r="E16" s="1101"/>
      <c r="F16" s="1101"/>
      <c r="G16" s="1101"/>
      <c r="H16" s="1101"/>
      <c r="I16" s="1101"/>
      <c r="J16" s="1101"/>
      <c r="K16" s="1101"/>
      <c r="L16" s="1101"/>
      <c r="M16" s="1101"/>
      <c r="N16" s="1101"/>
      <c r="O16" s="1101"/>
      <c r="S16" s="863"/>
      <c r="T16" s="863"/>
      <c r="U16" s="863"/>
      <c r="V16" s="863"/>
      <c r="W16" s="863"/>
    </row>
    <row r="17" spans="1:25" s="62" customFormat="1" ht="15" customHeight="1" x14ac:dyDescent="0.25">
      <c r="A17" s="1101" t="s">
        <v>771</v>
      </c>
      <c r="B17" s="1101"/>
      <c r="C17" s="1101"/>
      <c r="D17" s="1101"/>
      <c r="E17" s="1101"/>
      <c r="F17" s="1101"/>
      <c r="G17" s="1101"/>
      <c r="H17" s="1101"/>
      <c r="I17" s="1101"/>
      <c r="J17" s="1101"/>
      <c r="K17" s="1101"/>
      <c r="L17" s="1101"/>
      <c r="M17" s="1101"/>
      <c r="N17" s="1101"/>
      <c r="O17" s="1101"/>
      <c r="S17" s="863"/>
      <c r="T17" s="863"/>
      <c r="U17" s="863"/>
      <c r="V17" s="863"/>
      <c r="W17" s="863"/>
    </row>
    <row r="18" spans="1:25" s="62" customFormat="1" ht="35.1" customHeight="1" x14ac:dyDescent="0.25">
      <c r="A18" s="1101" t="s">
        <v>772</v>
      </c>
      <c r="B18" s="1101"/>
      <c r="C18" s="1101"/>
      <c r="D18" s="1101"/>
      <c r="E18" s="1101"/>
      <c r="F18" s="1101"/>
      <c r="G18" s="1101"/>
      <c r="H18" s="1101"/>
      <c r="I18" s="1101"/>
      <c r="J18" s="1101"/>
      <c r="K18" s="1101"/>
      <c r="L18" s="1101"/>
      <c r="M18" s="1101"/>
      <c r="N18" s="1101"/>
      <c r="O18" s="1101"/>
      <c r="S18" s="863"/>
      <c r="T18" s="863"/>
      <c r="U18" s="863"/>
      <c r="V18" s="863"/>
      <c r="W18" s="863"/>
    </row>
    <row r="19" spans="1:25" s="61" customFormat="1" ht="15.75" x14ac:dyDescent="0.25">
      <c r="A19" s="1101" t="s">
        <v>773</v>
      </c>
      <c r="B19" s="1101"/>
      <c r="C19" s="1101"/>
      <c r="D19" s="1101"/>
      <c r="E19" s="1101"/>
      <c r="F19" s="1101"/>
      <c r="G19" s="1101"/>
      <c r="H19" s="1101"/>
      <c r="I19" s="1101"/>
      <c r="J19" s="1101"/>
      <c r="K19" s="1101"/>
      <c r="L19" s="1101"/>
      <c r="M19" s="1101"/>
      <c r="N19" s="1101"/>
      <c r="O19" s="1101"/>
      <c r="S19" s="863"/>
      <c r="T19" s="863"/>
      <c r="U19" s="863"/>
      <c r="V19" s="863"/>
      <c r="W19" s="863"/>
    </row>
    <row r="20" spans="1:25" s="61" customFormat="1" ht="15.75" x14ac:dyDescent="0.25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S20" s="863"/>
      <c r="T20" s="863"/>
      <c r="U20" s="863"/>
      <c r="V20" s="863"/>
      <c r="W20" s="863"/>
    </row>
    <row r="21" spans="1:25" s="61" customFormat="1" ht="18.75" x14ac:dyDescent="0.25">
      <c r="A21" s="1117" t="s">
        <v>760</v>
      </c>
      <c r="B21" s="1117"/>
      <c r="C21" s="1117"/>
      <c r="D21" s="1117"/>
      <c r="E21" s="1117"/>
      <c r="F21" s="1117"/>
      <c r="G21" s="1117"/>
      <c r="H21" s="1117"/>
      <c r="I21" s="1117"/>
      <c r="J21" s="1117"/>
      <c r="K21" s="1117"/>
      <c r="L21" s="1117"/>
      <c r="M21" s="1117"/>
      <c r="N21" s="1117"/>
      <c r="O21" s="1117"/>
      <c r="S21" s="863"/>
      <c r="T21" s="863"/>
      <c r="U21" s="863"/>
      <c r="V21" s="863"/>
      <c r="W21" s="863"/>
    </row>
    <row r="22" spans="1:25" s="61" customFormat="1" ht="18.75" x14ac:dyDescent="0.25">
      <c r="A22" s="180"/>
      <c r="S22" s="863"/>
      <c r="T22" s="863"/>
      <c r="U22" s="863"/>
      <c r="V22" s="863"/>
      <c r="W22" s="863"/>
    </row>
    <row r="23" spans="1:25" s="61" customFormat="1" x14ac:dyDescent="0.25">
      <c r="A23" s="216"/>
      <c r="S23" s="863"/>
      <c r="T23" s="863"/>
      <c r="U23" s="863"/>
      <c r="V23" s="863"/>
      <c r="W23" s="863"/>
    </row>
    <row r="24" spans="1:25" s="61" customFormat="1" x14ac:dyDescent="0.25">
      <c r="S24" s="863"/>
      <c r="T24" s="863"/>
      <c r="U24" s="863"/>
      <c r="V24" s="863"/>
      <c r="W24" s="863"/>
    </row>
    <row r="25" spans="1:25" s="61" customFormat="1" x14ac:dyDescent="0.25">
      <c r="S25" s="863"/>
      <c r="T25" s="863"/>
      <c r="U25" s="863"/>
      <c r="V25" s="863"/>
      <c r="W25" s="863"/>
    </row>
    <row r="26" spans="1:25" s="61" customFormat="1" x14ac:dyDescent="0.25">
      <c r="S26" s="863"/>
      <c r="T26" s="863"/>
      <c r="U26" s="863"/>
      <c r="V26" s="863"/>
      <c r="W26" s="863"/>
    </row>
    <row r="27" spans="1:25" s="14" customFormat="1" ht="18.75" x14ac:dyDescent="0.3">
      <c r="A27" s="14" t="s">
        <v>776</v>
      </c>
      <c r="S27" s="48"/>
      <c r="T27" s="48"/>
      <c r="U27" s="48"/>
      <c r="V27" s="48"/>
      <c r="W27" s="48"/>
    </row>
    <row r="28" spans="1:25" x14ac:dyDescent="0.25">
      <c r="A28" s="1154" t="s">
        <v>30</v>
      </c>
      <c r="B28" s="1213" t="s">
        <v>19</v>
      </c>
      <c r="C28" s="1213" t="s">
        <v>774</v>
      </c>
      <c r="D28" s="217" t="s">
        <v>31</v>
      </c>
      <c r="E28" s="217" t="s">
        <v>32</v>
      </c>
      <c r="F28" s="218" t="s">
        <v>33</v>
      </c>
      <c r="G28" s="218" t="s">
        <v>34</v>
      </c>
      <c r="H28" s="217" t="s">
        <v>35</v>
      </c>
      <c r="I28" s="217" t="s">
        <v>36</v>
      </c>
      <c r="J28" s="217" t="s">
        <v>37</v>
      </c>
      <c r="K28" s="218" t="s">
        <v>38</v>
      </c>
      <c r="L28" s="218" t="s">
        <v>39</v>
      </c>
      <c r="M28" s="218" t="s">
        <v>40</v>
      </c>
      <c r="N28" s="1154" t="s">
        <v>41</v>
      </c>
      <c r="O28" s="1154" t="s">
        <v>42</v>
      </c>
      <c r="P28" s="192" t="s">
        <v>23</v>
      </c>
      <c r="Q28" s="1214" t="s">
        <v>43</v>
      </c>
      <c r="R28" s="1215"/>
      <c r="X28" s="48"/>
      <c r="Y28" s="48"/>
    </row>
    <row r="29" spans="1:25" ht="11.25" customHeight="1" x14ac:dyDescent="0.25">
      <c r="A29" s="1212"/>
      <c r="B29" s="1213"/>
      <c r="C29" s="1213"/>
      <c r="D29" s="220"/>
      <c r="E29" s="221"/>
      <c r="F29" s="222"/>
      <c r="G29" s="222"/>
      <c r="H29" s="221"/>
      <c r="I29" s="221"/>
      <c r="J29" s="221"/>
      <c r="K29" s="222"/>
      <c r="L29" s="222" t="s">
        <v>44</v>
      </c>
      <c r="M29" s="222" t="s">
        <v>45</v>
      </c>
      <c r="N29" s="1212"/>
      <c r="O29" s="1212"/>
      <c r="P29" s="221"/>
      <c r="Q29" s="219" t="s">
        <v>46</v>
      </c>
      <c r="R29" s="29" t="s">
        <v>45</v>
      </c>
      <c r="X29" s="48"/>
      <c r="Y29" s="48"/>
    </row>
    <row r="30" spans="1:25" x14ac:dyDescent="0.25">
      <c r="A30" s="187">
        <v>1</v>
      </c>
      <c r="B30" s="223">
        <v>2</v>
      </c>
      <c r="C30" s="223">
        <v>3</v>
      </c>
      <c r="D30" s="187">
        <v>4</v>
      </c>
      <c r="E30" s="187">
        <v>5</v>
      </c>
      <c r="F30" s="224">
        <v>6</v>
      </c>
      <c r="G30" s="224">
        <v>7</v>
      </c>
      <c r="H30" s="187">
        <v>8</v>
      </c>
      <c r="I30" s="187">
        <v>9</v>
      </c>
      <c r="J30" s="187">
        <v>10</v>
      </c>
      <c r="K30" s="224">
        <v>11</v>
      </c>
      <c r="L30" s="224">
        <v>12</v>
      </c>
      <c r="M30" s="224">
        <v>13</v>
      </c>
      <c r="N30" s="187">
        <v>14</v>
      </c>
      <c r="O30" s="187">
        <v>15</v>
      </c>
      <c r="P30" s="187">
        <v>16</v>
      </c>
      <c r="Q30" s="187">
        <v>17</v>
      </c>
      <c r="R30" s="187">
        <v>18</v>
      </c>
      <c r="X30" s="48"/>
      <c r="Y30" s="48"/>
    </row>
    <row r="31" spans="1:25" ht="15.75" x14ac:dyDescent="0.25">
      <c r="A31" s="1229" t="s">
        <v>61</v>
      </c>
      <c r="B31" s="1230"/>
      <c r="C31" s="1230"/>
      <c r="D31" s="1230"/>
      <c r="E31" s="1230"/>
      <c r="F31" s="1230"/>
      <c r="G31" s="1230"/>
      <c r="H31" s="1230"/>
      <c r="I31" s="1230"/>
      <c r="J31" s="1230"/>
      <c r="K31" s="1230"/>
      <c r="L31" s="1230"/>
      <c r="M31" s="1230"/>
      <c r="N31" s="1230"/>
      <c r="O31" s="1230"/>
      <c r="P31" s="1230"/>
      <c r="Q31" s="1230"/>
      <c r="R31" s="1231"/>
      <c r="X31" s="48"/>
    </row>
    <row r="32" spans="1:25" ht="15.75" x14ac:dyDescent="0.25">
      <c r="A32" s="1232" t="s">
        <v>5</v>
      </c>
      <c r="B32" s="1233"/>
      <c r="C32" s="1233"/>
      <c r="D32" s="1233"/>
      <c r="E32" s="1233"/>
      <c r="F32" s="1233"/>
      <c r="G32" s="1233"/>
      <c r="H32" s="1233"/>
      <c r="I32" s="1233"/>
      <c r="J32" s="1233"/>
      <c r="K32" s="1233"/>
      <c r="L32" s="1233"/>
      <c r="M32" s="1233"/>
      <c r="N32" s="1233"/>
      <c r="O32" s="1233"/>
      <c r="P32" s="1233"/>
      <c r="Q32" s="1233"/>
      <c r="R32" s="1234"/>
      <c r="S32" s="49"/>
      <c r="T32" s="49"/>
      <c r="U32" s="49"/>
      <c r="V32" s="49"/>
      <c r="W32" s="49"/>
      <c r="X32" s="49"/>
    </row>
    <row r="33" spans="1:24" x14ac:dyDescent="0.25">
      <c r="A33" s="1171" t="s">
        <v>8</v>
      </c>
      <c r="B33" s="1210"/>
      <c r="C33" s="1210"/>
      <c r="D33" s="1210"/>
      <c r="E33" s="1210"/>
      <c r="F33" s="1210"/>
      <c r="G33" s="1210"/>
      <c r="H33" s="1210"/>
      <c r="I33" s="1210"/>
      <c r="J33" s="1210"/>
      <c r="K33" s="1210"/>
      <c r="L33" s="1210"/>
      <c r="M33" s="1210"/>
      <c r="N33" s="1210"/>
      <c r="O33" s="1210"/>
      <c r="P33" s="1210"/>
      <c r="Q33" s="1210"/>
      <c r="R33" s="1211"/>
      <c r="S33" s="49"/>
      <c r="T33" s="49"/>
      <c r="U33" s="49"/>
      <c r="V33" s="49"/>
      <c r="W33" s="49"/>
      <c r="X33" s="49"/>
    </row>
    <row r="34" spans="1:24" ht="63.75" x14ac:dyDescent="0.25">
      <c r="A34" s="1192">
        <v>700103</v>
      </c>
      <c r="B34" s="20" t="s">
        <v>1032</v>
      </c>
      <c r="C34" s="17" t="s">
        <v>17</v>
      </c>
      <c r="D34" s="8">
        <v>0.05</v>
      </c>
      <c r="E34" s="8">
        <v>0.03</v>
      </c>
      <c r="F34" s="18">
        <v>1.4</v>
      </c>
      <c r="G34" s="8">
        <v>1</v>
      </c>
      <c r="H34" s="8">
        <v>0.01</v>
      </c>
      <c r="I34" s="8" t="s">
        <v>47</v>
      </c>
      <c r="J34" s="8">
        <v>0.5</v>
      </c>
      <c r="K34" s="8">
        <v>0.5</v>
      </c>
      <c r="L34" s="8">
        <v>130</v>
      </c>
      <c r="M34" s="8">
        <v>377076</v>
      </c>
      <c r="N34" s="8" t="s">
        <v>16</v>
      </c>
      <c r="O34" s="19" t="s">
        <v>49</v>
      </c>
      <c r="P34" s="8">
        <v>0</v>
      </c>
      <c r="Q34" s="8">
        <f>ROUND(((D34*E34*F34*G34*H34*J34*L34*1000000*K34/3600)*(1-P34)),4)</f>
        <v>0.18959999999999999</v>
      </c>
      <c r="R34" s="8">
        <f>ROUND((D34*E34*F34*G34*H34*J34*K34*M34*(1-P34)),4)</f>
        <v>1.9796</v>
      </c>
      <c r="S34" s="49"/>
      <c r="T34" s="50"/>
      <c r="U34" s="50"/>
      <c r="V34" s="50"/>
      <c r="W34" s="49"/>
      <c r="X34" s="49"/>
    </row>
    <row r="35" spans="1:24" ht="64.5" customHeight="1" x14ac:dyDescent="0.25">
      <c r="A35" s="1218"/>
      <c r="B35" s="20" t="s">
        <v>1033</v>
      </c>
      <c r="C35" s="17" t="s">
        <v>17</v>
      </c>
      <c r="D35" s="8">
        <v>0.05</v>
      </c>
      <c r="E35" s="8">
        <v>0.03</v>
      </c>
      <c r="F35" s="18">
        <v>1.4</v>
      </c>
      <c r="G35" s="8">
        <v>1</v>
      </c>
      <c r="H35" s="8">
        <v>0.01</v>
      </c>
      <c r="I35" s="8" t="s">
        <v>47</v>
      </c>
      <c r="J35" s="8">
        <v>0.5</v>
      </c>
      <c r="K35" s="8">
        <v>0.5</v>
      </c>
      <c r="L35" s="8">
        <v>110</v>
      </c>
      <c r="M35" s="8">
        <v>328901</v>
      </c>
      <c r="N35" s="8" t="s">
        <v>16</v>
      </c>
      <c r="O35" s="19" t="s">
        <v>49</v>
      </c>
      <c r="P35" s="8">
        <v>0</v>
      </c>
      <c r="Q35" s="8">
        <f t="shared" ref="Q35:Q37" si="0">ROUND(((D35*E35*F35*G35*H35*J35*L35*1000000*K35/3600)*(1-P35)),4)</f>
        <v>0.16039999999999999</v>
      </c>
      <c r="R35" s="8">
        <f t="shared" ref="R35:R37" si="1">ROUND((D35*E35*F35*G35*H35*J35*K35*M35*(1-P35)),4)</f>
        <v>1.7266999999999999</v>
      </c>
      <c r="S35" s="49"/>
      <c r="T35" s="49"/>
      <c r="U35" s="49"/>
      <c r="V35" s="49"/>
      <c r="W35" s="49"/>
      <c r="X35" s="49"/>
    </row>
    <row r="36" spans="1:24" ht="30" customHeight="1" x14ac:dyDescent="0.25">
      <c r="A36" s="1218"/>
      <c r="B36" s="20" t="s">
        <v>69</v>
      </c>
      <c r="C36" s="17" t="s">
        <v>17</v>
      </c>
      <c r="D36" s="8">
        <v>0.05</v>
      </c>
      <c r="E36" s="8">
        <v>0.03</v>
      </c>
      <c r="F36" s="18">
        <v>1.4</v>
      </c>
      <c r="G36" s="8">
        <v>1</v>
      </c>
      <c r="H36" s="8">
        <v>0.01</v>
      </c>
      <c r="I36" s="8" t="s">
        <v>47</v>
      </c>
      <c r="J36" s="8">
        <v>0.5</v>
      </c>
      <c r="K36" s="8">
        <v>0.5</v>
      </c>
      <c r="L36" s="8">
        <v>15</v>
      </c>
      <c r="M36" s="8">
        <v>6297</v>
      </c>
      <c r="N36" s="8" t="s">
        <v>16</v>
      </c>
      <c r="O36" s="19" t="s">
        <v>49</v>
      </c>
      <c r="P36" s="8">
        <v>0</v>
      </c>
      <c r="Q36" s="8">
        <f t="shared" si="0"/>
        <v>2.1899999999999999E-2</v>
      </c>
      <c r="R36" s="8">
        <f t="shared" si="1"/>
        <v>3.3099999999999997E-2</v>
      </c>
      <c r="S36" s="49"/>
      <c r="T36" s="49"/>
      <c r="U36" s="49"/>
      <c r="V36" s="49"/>
      <c r="W36" s="49"/>
      <c r="X36" s="49"/>
    </row>
    <row r="37" spans="1:24" ht="24" customHeight="1" x14ac:dyDescent="0.25">
      <c r="A37" s="1219"/>
      <c r="B37" s="18" t="s">
        <v>70</v>
      </c>
      <c r="C37" s="17" t="s">
        <v>17</v>
      </c>
      <c r="D37" s="8">
        <v>0.05</v>
      </c>
      <c r="E37" s="8">
        <v>0.03</v>
      </c>
      <c r="F37" s="18">
        <v>1.4</v>
      </c>
      <c r="G37" s="8">
        <v>1</v>
      </c>
      <c r="H37" s="8">
        <v>0.01</v>
      </c>
      <c r="I37" s="8" t="s">
        <v>47</v>
      </c>
      <c r="J37" s="8">
        <v>0.5</v>
      </c>
      <c r="K37" s="8">
        <v>0.5</v>
      </c>
      <c r="L37" s="8">
        <v>5</v>
      </c>
      <c r="M37" s="8">
        <v>3148</v>
      </c>
      <c r="N37" s="8" t="s">
        <v>16</v>
      </c>
      <c r="O37" s="19" t="s">
        <v>49</v>
      </c>
      <c r="P37" s="8">
        <v>0</v>
      </c>
      <c r="Q37" s="8">
        <f t="shared" si="0"/>
        <v>7.3000000000000001E-3</v>
      </c>
      <c r="R37" s="8">
        <f t="shared" si="1"/>
        <v>1.6500000000000001E-2</v>
      </c>
      <c r="S37" s="49"/>
      <c r="T37" s="49"/>
      <c r="U37" s="49"/>
      <c r="V37" s="49"/>
      <c r="W37" s="49"/>
      <c r="X37" s="49"/>
    </row>
    <row r="38" spans="1:24" x14ac:dyDescent="0.25">
      <c r="A38" s="1206" t="s">
        <v>72</v>
      </c>
      <c r="B38" s="1207"/>
      <c r="C38" s="1207"/>
      <c r="D38" s="1207"/>
      <c r="E38" s="1207"/>
      <c r="F38" s="1207"/>
      <c r="G38" s="1207"/>
      <c r="H38" s="1207"/>
      <c r="I38" s="1207"/>
      <c r="J38" s="1207"/>
      <c r="K38" s="1207"/>
      <c r="L38" s="1207"/>
      <c r="M38" s="1207"/>
      <c r="N38" s="1207"/>
      <c r="O38" s="1207"/>
      <c r="P38" s="1207"/>
      <c r="Q38" s="1207"/>
      <c r="R38" s="1208"/>
    </row>
    <row r="39" spans="1:24" s="215" customFormat="1" ht="24" customHeight="1" x14ac:dyDescent="0.2">
      <c r="A39" s="1136" t="s">
        <v>311</v>
      </c>
      <c r="B39" s="1137"/>
      <c r="C39" s="1137"/>
      <c r="D39" s="1137"/>
      <c r="E39" s="1137"/>
      <c r="F39" s="1137"/>
      <c r="G39" s="1137"/>
      <c r="H39" s="1137"/>
      <c r="I39" s="1137"/>
      <c r="J39" s="1137"/>
      <c r="K39" s="1137"/>
      <c r="L39" s="1137"/>
      <c r="M39" s="1138"/>
      <c r="N39" s="194" t="s">
        <v>16</v>
      </c>
      <c r="O39" s="225" t="s">
        <v>49</v>
      </c>
      <c r="P39" s="194"/>
      <c r="Q39" s="194">
        <f>MAX(Q34,Q35,Q36,Q37)</f>
        <v>0.18959999999999999</v>
      </c>
      <c r="R39" s="194">
        <f>R34+R35+R36+R37</f>
        <v>3.7559</v>
      </c>
      <c r="S39" s="864"/>
      <c r="T39" s="864"/>
      <c r="U39" s="865"/>
      <c r="V39" s="865"/>
      <c r="W39" s="865"/>
    </row>
    <row r="40" spans="1:24" ht="15" customHeight="1" x14ac:dyDescent="0.25">
      <c r="A40" s="1171" t="s">
        <v>204</v>
      </c>
      <c r="B40" s="1210"/>
      <c r="C40" s="1210"/>
      <c r="D40" s="1210"/>
      <c r="E40" s="1210"/>
      <c r="F40" s="1210"/>
      <c r="G40" s="1210"/>
      <c r="H40" s="1210"/>
      <c r="I40" s="1210"/>
      <c r="J40" s="1210"/>
      <c r="K40" s="1210"/>
      <c r="L40" s="1210"/>
      <c r="M40" s="1210"/>
      <c r="N40" s="1210"/>
      <c r="O40" s="1210"/>
      <c r="P40" s="1210"/>
      <c r="Q40" s="1210"/>
      <c r="R40" s="1211"/>
      <c r="S40" s="49"/>
      <c r="T40" s="49"/>
      <c r="U40" s="49"/>
      <c r="V40" s="49"/>
      <c r="W40" s="49"/>
    </row>
    <row r="41" spans="1:24" s="148" customFormat="1" ht="24" customHeight="1" x14ac:dyDescent="0.25">
      <c r="A41" s="184">
        <v>700902</v>
      </c>
      <c r="B41" s="20" t="s">
        <v>69</v>
      </c>
      <c r="C41" s="17" t="s">
        <v>17</v>
      </c>
      <c r="D41" s="8">
        <v>0.05</v>
      </c>
      <c r="E41" s="8">
        <v>0.03</v>
      </c>
      <c r="F41" s="18">
        <v>1.4</v>
      </c>
      <c r="G41" s="8">
        <v>1</v>
      </c>
      <c r="H41" s="8">
        <v>0.01</v>
      </c>
      <c r="I41" s="8" t="s">
        <v>47</v>
      </c>
      <c r="J41" s="8">
        <v>0.5</v>
      </c>
      <c r="K41" s="8">
        <v>0.5</v>
      </c>
      <c r="L41" s="8">
        <v>15</v>
      </c>
      <c r="M41" s="8">
        <v>1241</v>
      </c>
      <c r="N41" s="8" t="s">
        <v>16</v>
      </c>
      <c r="O41" s="19" t="s">
        <v>49</v>
      </c>
      <c r="P41" s="8">
        <v>0</v>
      </c>
      <c r="Q41" s="8">
        <f t="shared" ref="Q41" si="2">ROUND(((D41*E41*F41*G41*H41*J41*L41*1000000*K41/3600)*(1-P41)),4)</f>
        <v>2.1899999999999999E-2</v>
      </c>
      <c r="R41" s="8">
        <f t="shared" ref="R41" si="3">ROUND((D41*E41*F41*G41*H41*J41*K41*M41*(1-P41)),4)</f>
        <v>6.4999999999999997E-3</v>
      </c>
      <c r="S41" s="150"/>
      <c r="T41" s="150"/>
      <c r="U41" s="150"/>
      <c r="V41" s="150"/>
      <c r="W41" s="150"/>
    </row>
    <row r="42" spans="1:24" x14ac:dyDescent="0.25">
      <c r="A42" s="1171" t="s">
        <v>210</v>
      </c>
      <c r="B42" s="1210"/>
      <c r="C42" s="1210"/>
      <c r="D42" s="1210"/>
      <c r="E42" s="1210"/>
      <c r="F42" s="1210"/>
      <c r="G42" s="1210"/>
      <c r="H42" s="1210"/>
      <c r="I42" s="1210"/>
      <c r="J42" s="1210"/>
      <c r="K42" s="1210"/>
      <c r="L42" s="1210"/>
      <c r="M42" s="1210"/>
      <c r="N42" s="1210"/>
      <c r="O42" s="1210"/>
      <c r="P42" s="1210"/>
      <c r="Q42" s="1210"/>
      <c r="R42" s="1211"/>
      <c r="S42" s="49"/>
      <c r="T42" s="49"/>
      <c r="U42" s="49"/>
      <c r="V42" s="49"/>
      <c r="W42" s="49"/>
    </row>
    <row r="43" spans="1:24" ht="24" customHeight="1" x14ac:dyDescent="0.25">
      <c r="A43" s="1209">
        <v>701402</v>
      </c>
      <c r="B43" s="20" t="s">
        <v>69</v>
      </c>
      <c r="C43" s="17" t="s">
        <v>17</v>
      </c>
      <c r="D43" s="8">
        <v>0.05</v>
      </c>
      <c r="E43" s="8">
        <v>0.03</v>
      </c>
      <c r="F43" s="18">
        <v>1.4</v>
      </c>
      <c r="G43" s="8">
        <v>1</v>
      </c>
      <c r="H43" s="8">
        <v>0.01</v>
      </c>
      <c r="I43" s="8" t="s">
        <v>47</v>
      </c>
      <c r="J43" s="8">
        <v>0.5</v>
      </c>
      <c r="K43" s="8">
        <v>0.5</v>
      </c>
      <c r="L43" s="8">
        <v>15</v>
      </c>
      <c r="M43" s="8">
        <v>3374</v>
      </c>
      <c r="N43" s="8" t="s">
        <v>16</v>
      </c>
      <c r="O43" s="19" t="s">
        <v>49</v>
      </c>
      <c r="P43" s="8">
        <v>0</v>
      </c>
      <c r="Q43" s="8">
        <f t="shared" ref="Q43:Q44" si="4">ROUND(((D43*E43*F43*G43*H43*J43*L43*1000000*K43/3600)*(1-P43)),4)</f>
        <v>2.1899999999999999E-2</v>
      </c>
      <c r="R43" s="8">
        <f t="shared" ref="R43:R44" si="5">ROUND((D43*E43*F43*G43*H43*J43*K43*M43*(1-P43)),4)</f>
        <v>1.77E-2</v>
      </c>
      <c r="S43" s="49"/>
      <c r="T43" s="49"/>
      <c r="U43" s="49"/>
      <c r="V43" s="49"/>
      <c r="W43" s="49"/>
    </row>
    <row r="44" spans="1:24" ht="24" customHeight="1" x14ac:dyDescent="0.25">
      <c r="A44" s="1196"/>
      <c r="B44" s="8" t="s">
        <v>70</v>
      </c>
      <c r="C44" s="17" t="s">
        <v>17</v>
      </c>
      <c r="D44" s="8">
        <v>0.05</v>
      </c>
      <c r="E44" s="8">
        <v>0.03</v>
      </c>
      <c r="F44" s="18">
        <v>1.4</v>
      </c>
      <c r="G44" s="8">
        <v>1</v>
      </c>
      <c r="H44" s="8">
        <v>0.01</v>
      </c>
      <c r="I44" s="8" t="s">
        <v>47</v>
      </c>
      <c r="J44" s="8">
        <v>0.5</v>
      </c>
      <c r="K44" s="8">
        <v>0.5</v>
      </c>
      <c r="L44" s="8">
        <v>5</v>
      </c>
      <c r="M44" s="8">
        <v>1687</v>
      </c>
      <c r="N44" s="8" t="s">
        <v>16</v>
      </c>
      <c r="O44" s="19" t="s">
        <v>49</v>
      </c>
      <c r="P44" s="8">
        <v>0</v>
      </c>
      <c r="Q44" s="8">
        <f t="shared" si="4"/>
        <v>7.3000000000000001E-3</v>
      </c>
      <c r="R44" s="8">
        <f t="shared" si="5"/>
        <v>8.8999999999999999E-3</v>
      </c>
      <c r="S44" s="49"/>
      <c r="T44" s="49"/>
      <c r="U44" s="49"/>
      <c r="V44" s="49"/>
      <c r="W44" s="49"/>
    </row>
    <row r="45" spans="1:24" x14ac:dyDescent="0.25">
      <c r="A45" s="1206" t="s">
        <v>72</v>
      </c>
      <c r="B45" s="1207"/>
      <c r="C45" s="1207"/>
      <c r="D45" s="1207"/>
      <c r="E45" s="1207"/>
      <c r="F45" s="1207"/>
      <c r="G45" s="1207"/>
      <c r="H45" s="1207"/>
      <c r="I45" s="1207"/>
      <c r="J45" s="1207"/>
      <c r="K45" s="1207"/>
      <c r="L45" s="1207"/>
      <c r="M45" s="1207"/>
      <c r="N45" s="1207"/>
      <c r="O45" s="1207"/>
      <c r="P45" s="1207"/>
      <c r="Q45" s="1207"/>
      <c r="R45" s="1208"/>
      <c r="S45" s="49"/>
      <c r="T45" s="49"/>
      <c r="U45" s="49"/>
      <c r="V45" s="49"/>
      <c r="W45" s="49"/>
    </row>
    <row r="46" spans="1:24" s="148" customFormat="1" ht="24" customHeight="1" x14ac:dyDescent="0.25">
      <c r="A46" s="1136" t="s">
        <v>389</v>
      </c>
      <c r="B46" s="1137"/>
      <c r="C46" s="1137"/>
      <c r="D46" s="1137"/>
      <c r="E46" s="1137"/>
      <c r="F46" s="1137"/>
      <c r="G46" s="1137"/>
      <c r="H46" s="1137"/>
      <c r="I46" s="1137"/>
      <c r="J46" s="1137"/>
      <c r="K46" s="1137"/>
      <c r="L46" s="1137"/>
      <c r="M46" s="1138"/>
      <c r="N46" s="194" t="s">
        <v>16</v>
      </c>
      <c r="O46" s="225" t="s">
        <v>49</v>
      </c>
      <c r="P46" s="8"/>
      <c r="Q46" s="194">
        <f>MAX(Q43,Q44)</f>
        <v>2.1899999999999999E-2</v>
      </c>
      <c r="R46" s="194">
        <f>R43+R44</f>
        <v>2.6599999999999999E-2</v>
      </c>
      <c r="S46" s="150"/>
      <c r="T46" s="150"/>
      <c r="U46" s="150"/>
      <c r="V46" s="150"/>
      <c r="W46" s="150"/>
    </row>
    <row r="47" spans="1:24" x14ac:dyDescent="0.25">
      <c r="A47" s="1171" t="s">
        <v>213</v>
      </c>
      <c r="B47" s="1210"/>
      <c r="C47" s="1210"/>
      <c r="D47" s="1210"/>
      <c r="E47" s="1210"/>
      <c r="F47" s="1210"/>
      <c r="G47" s="1210"/>
      <c r="H47" s="1210"/>
      <c r="I47" s="1210"/>
      <c r="J47" s="1210"/>
      <c r="K47" s="1210"/>
      <c r="L47" s="1210"/>
      <c r="M47" s="1210"/>
      <c r="N47" s="1210"/>
      <c r="O47" s="1210"/>
      <c r="P47" s="1210"/>
      <c r="Q47" s="1210"/>
      <c r="R47" s="1211"/>
      <c r="S47" s="49"/>
      <c r="T47" s="49"/>
      <c r="U47" s="49"/>
      <c r="V47" s="49"/>
      <c r="W47" s="49"/>
    </row>
    <row r="48" spans="1:24" ht="25.5" x14ac:dyDescent="0.25">
      <c r="A48" s="1209">
        <v>701902</v>
      </c>
      <c r="B48" s="20" t="s">
        <v>69</v>
      </c>
      <c r="C48" s="17" t="s">
        <v>17</v>
      </c>
      <c r="D48" s="8">
        <v>0.05</v>
      </c>
      <c r="E48" s="8">
        <v>0.03</v>
      </c>
      <c r="F48" s="18">
        <v>1.4</v>
      </c>
      <c r="G48" s="8">
        <v>1</v>
      </c>
      <c r="H48" s="8">
        <v>0.01</v>
      </c>
      <c r="I48" s="8" t="s">
        <v>47</v>
      </c>
      <c r="J48" s="8">
        <v>0.5</v>
      </c>
      <c r="K48" s="8">
        <v>0.5</v>
      </c>
      <c r="L48" s="8">
        <v>15</v>
      </c>
      <c r="M48" s="8">
        <v>11218</v>
      </c>
      <c r="N48" s="8" t="s">
        <v>16</v>
      </c>
      <c r="O48" s="19" t="s">
        <v>49</v>
      </c>
      <c r="P48" s="8">
        <v>0</v>
      </c>
      <c r="Q48" s="8">
        <f t="shared" ref="Q48:Q49" si="6">ROUND(((D48*E48*F48*G48*H48*J48*L48*1000000*K48/3600)*(1-P48)),4)</f>
        <v>2.1899999999999999E-2</v>
      </c>
      <c r="R48" s="8">
        <f t="shared" ref="R48:R49" si="7">ROUND((D48*E48*F48*G48*H48*J48*K48*M48*(1-P48)),4)</f>
        <v>5.8900000000000001E-2</v>
      </c>
      <c r="S48" s="49"/>
      <c r="T48" s="49"/>
      <c r="U48" s="49"/>
      <c r="V48" s="49"/>
      <c r="W48" s="49"/>
    </row>
    <row r="49" spans="1:25" ht="25.5" x14ac:dyDescent="0.25">
      <c r="A49" s="1196"/>
      <c r="B49" s="8" t="s">
        <v>70</v>
      </c>
      <c r="C49" s="17" t="s">
        <v>17</v>
      </c>
      <c r="D49" s="8">
        <v>0.05</v>
      </c>
      <c r="E49" s="8">
        <v>0.03</v>
      </c>
      <c r="F49" s="18">
        <v>1.4</v>
      </c>
      <c r="G49" s="8">
        <v>1</v>
      </c>
      <c r="H49" s="8">
        <v>0.01</v>
      </c>
      <c r="I49" s="8" t="s">
        <v>47</v>
      </c>
      <c r="J49" s="8">
        <v>0.5</v>
      </c>
      <c r="K49" s="8">
        <v>0.5</v>
      </c>
      <c r="L49" s="8">
        <v>5</v>
      </c>
      <c r="M49" s="8">
        <v>5609</v>
      </c>
      <c r="N49" s="8" t="s">
        <v>16</v>
      </c>
      <c r="O49" s="19" t="s">
        <v>49</v>
      </c>
      <c r="P49" s="8">
        <v>0</v>
      </c>
      <c r="Q49" s="8">
        <f t="shared" si="6"/>
        <v>7.3000000000000001E-3</v>
      </c>
      <c r="R49" s="8">
        <f t="shared" si="7"/>
        <v>2.9399999999999999E-2</v>
      </c>
      <c r="S49" s="49"/>
      <c r="T49" s="49"/>
      <c r="U49" s="49"/>
      <c r="V49" s="49"/>
      <c r="W49" s="49"/>
    </row>
    <row r="50" spans="1:25" x14ac:dyDescent="0.25">
      <c r="A50" s="1206" t="s">
        <v>72</v>
      </c>
      <c r="B50" s="1207"/>
      <c r="C50" s="1207"/>
      <c r="D50" s="1207"/>
      <c r="E50" s="1207"/>
      <c r="F50" s="1207"/>
      <c r="G50" s="1207"/>
      <c r="H50" s="1207"/>
      <c r="I50" s="1207"/>
      <c r="J50" s="1207"/>
      <c r="K50" s="1207"/>
      <c r="L50" s="1207"/>
      <c r="M50" s="1207"/>
      <c r="N50" s="1207"/>
      <c r="O50" s="1207"/>
      <c r="P50" s="1207"/>
      <c r="Q50" s="1207"/>
      <c r="R50" s="1208"/>
      <c r="S50" s="49"/>
      <c r="T50" s="49"/>
      <c r="U50" s="49"/>
      <c r="V50" s="49"/>
      <c r="W50" s="49"/>
    </row>
    <row r="51" spans="1:25" s="148" customFormat="1" ht="25.5" x14ac:dyDescent="0.25">
      <c r="A51" s="1136" t="s">
        <v>395</v>
      </c>
      <c r="B51" s="1137"/>
      <c r="C51" s="1137"/>
      <c r="D51" s="1137"/>
      <c r="E51" s="1137"/>
      <c r="F51" s="1137"/>
      <c r="G51" s="1137"/>
      <c r="H51" s="1137"/>
      <c r="I51" s="1137"/>
      <c r="J51" s="1137"/>
      <c r="K51" s="1137"/>
      <c r="L51" s="1137"/>
      <c r="M51" s="1138"/>
      <c r="N51" s="194" t="s">
        <v>16</v>
      </c>
      <c r="O51" s="225" t="s">
        <v>49</v>
      </c>
      <c r="P51" s="8"/>
      <c r="Q51" s="194">
        <f>MAX(Q48,Q49)</f>
        <v>2.1899999999999999E-2</v>
      </c>
      <c r="R51" s="194">
        <f>R48+R49</f>
        <v>8.8300000000000003E-2</v>
      </c>
      <c r="S51" s="150"/>
      <c r="T51" s="150"/>
      <c r="U51" s="150"/>
      <c r="V51" s="150"/>
      <c r="W51" s="150"/>
    </row>
    <row r="52" spans="1:25" x14ac:dyDescent="0.25">
      <c r="A52" s="1171" t="s">
        <v>215</v>
      </c>
      <c r="B52" s="1210"/>
      <c r="C52" s="1210"/>
      <c r="D52" s="1210"/>
      <c r="E52" s="1210"/>
      <c r="F52" s="1210"/>
      <c r="G52" s="1210"/>
      <c r="H52" s="1210"/>
      <c r="I52" s="1210"/>
      <c r="J52" s="1210"/>
      <c r="K52" s="1210"/>
      <c r="L52" s="1210"/>
      <c r="M52" s="1210"/>
      <c r="N52" s="1210"/>
      <c r="O52" s="1210"/>
      <c r="P52" s="1210"/>
      <c r="Q52" s="1210"/>
      <c r="R52" s="1211"/>
      <c r="S52" s="49"/>
      <c r="T52" s="49"/>
      <c r="U52" s="49"/>
      <c r="V52" s="49"/>
      <c r="W52" s="49"/>
    </row>
    <row r="53" spans="1:25" s="148" customFormat="1" ht="25.5" x14ac:dyDescent="0.25">
      <c r="A53" s="24">
        <v>702502</v>
      </c>
      <c r="B53" s="20" t="s">
        <v>69</v>
      </c>
      <c r="C53" s="17" t="s">
        <v>17</v>
      </c>
      <c r="D53" s="8">
        <v>0.05</v>
      </c>
      <c r="E53" s="8">
        <v>0.03</v>
      </c>
      <c r="F53" s="18">
        <v>1.4</v>
      </c>
      <c r="G53" s="8">
        <v>1</v>
      </c>
      <c r="H53" s="8">
        <v>0.01</v>
      </c>
      <c r="I53" s="8" t="s">
        <v>47</v>
      </c>
      <c r="J53" s="8">
        <v>0.5</v>
      </c>
      <c r="K53" s="8">
        <v>0.5</v>
      </c>
      <c r="L53" s="8">
        <v>45</v>
      </c>
      <c r="M53" s="8">
        <v>98240</v>
      </c>
      <c r="N53" s="8" t="s">
        <v>16</v>
      </c>
      <c r="O53" s="19" t="s">
        <v>49</v>
      </c>
      <c r="P53" s="8">
        <v>0</v>
      </c>
      <c r="Q53" s="194">
        <f t="shared" ref="Q53" si="8">ROUND(((D53*E53*F53*G53*H53*J53*L53*1000000*K53/3600)*(1-P53)),4)</f>
        <v>6.5600000000000006E-2</v>
      </c>
      <c r="R53" s="194">
        <f t="shared" ref="R53" si="9">ROUND((D53*E53*F53*G53*H53*J53*K53*M53*(1-P53)),4)</f>
        <v>0.51580000000000004</v>
      </c>
      <c r="S53" s="150"/>
      <c r="T53" s="150"/>
      <c r="U53" s="150"/>
      <c r="V53" s="150"/>
      <c r="W53" s="150"/>
    </row>
    <row r="54" spans="1:25" x14ac:dyDescent="0.25">
      <c r="A54" s="1171" t="s">
        <v>244</v>
      </c>
      <c r="B54" s="1210"/>
      <c r="C54" s="1210"/>
      <c r="D54" s="1210"/>
      <c r="E54" s="1210"/>
      <c r="F54" s="1210"/>
      <c r="G54" s="1210"/>
      <c r="H54" s="1210"/>
      <c r="I54" s="1210"/>
      <c r="J54" s="1210"/>
      <c r="K54" s="1210"/>
      <c r="L54" s="1210"/>
      <c r="M54" s="1210"/>
      <c r="N54" s="1210"/>
      <c r="O54" s="1210"/>
      <c r="P54" s="1210"/>
      <c r="Q54" s="1210"/>
      <c r="R54" s="1211"/>
      <c r="S54" s="49"/>
      <c r="T54" s="49"/>
      <c r="U54" s="49"/>
      <c r="V54" s="49"/>
      <c r="W54" s="49"/>
    </row>
    <row r="55" spans="1:25" ht="25.5" x14ac:dyDescent="0.25">
      <c r="A55" s="1225">
        <v>704703</v>
      </c>
      <c r="B55" s="20" t="s">
        <v>69</v>
      </c>
      <c r="C55" s="17" t="s">
        <v>17</v>
      </c>
      <c r="D55" s="8">
        <v>0.05</v>
      </c>
      <c r="E55" s="8">
        <v>0.03</v>
      </c>
      <c r="F55" s="18">
        <v>1.4</v>
      </c>
      <c r="G55" s="8">
        <v>1</v>
      </c>
      <c r="H55" s="8">
        <v>0.01</v>
      </c>
      <c r="I55" s="8" t="s">
        <v>47</v>
      </c>
      <c r="J55" s="8">
        <v>0.5</v>
      </c>
      <c r="K55" s="8">
        <v>0.5</v>
      </c>
      <c r="L55" s="8">
        <v>15</v>
      </c>
      <c r="M55" s="8">
        <v>23258</v>
      </c>
      <c r="N55" s="8" t="s">
        <v>16</v>
      </c>
      <c r="O55" s="19" t="s">
        <v>49</v>
      </c>
      <c r="P55" s="8">
        <v>0</v>
      </c>
      <c r="Q55" s="8">
        <f t="shared" ref="Q55:Q56" si="10">ROUND(((D55*E55*F55*G55*H55*J55*L55*1000000*K55/3600)*(1-P55)),4)</f>
        <v>2.1899999999999999E-2</v>
      </c>
      <c r="R55" s="8">
        <f t="shared" ref="R55:R56" si="11">ROUND((D55*E55*F55*G55*H55*J55*K55*M55*(1-P55)),4)</f>
        <v>0.1221</v>
      </c>
      <c r="S55" s="49"/>
      <c r="T55" s="49"/>
      <c r="U55" s="49"/>
      <c r="V55" s="49"/>
      <c r="W55" s="49"/>
    </row>
    <row r="56" spans="1:25" ht="25.5" x14ac:dyDescent="0.25">
      <c r="A56" s="1225"/>
      <c r="B56" s="18" t="s">
        <v>70</v>
      </c>
      <c r="C56" s="17" t="s">
        <v>17</v>
      </c>
      <c r="D56" s="8">
        <v>0.05</v>
      </c>
      <c r="E56" s="8">
        <v>0.03</v>
      </c>
      <c r="F56" s="18">
        <v>1.4</v>
      </c>
      <c r="G56" s="8">
        <v>1</v>
      </c>
      <c r="H56" s="8">
        <v>0.01</v>
      </c>
      <c r="I56" s="8" t="s">
        <v>47</v>
      </c>
      <c r="J56" s="8">
        <v>0.5</v>
      </c>
      <c r="K56" s="8">
        <v>0.5</v>
      </c>
      <c r="L56" s="8">
        <v>5</v>
      </c>
      <c r="M56" s="8">
        <v>6107</v>
      </c>
      <c r="N56" s="8" t="s">
        <v>16</v>
      </c>
      <c r="O56" s="19" t="s">
        <v>49</v>
      </c>
      <c r="P56" s="8">
        <v>0</v>
      </c>
      <c r="Q56" s="8">
        <f t="shared" si="10"/>
        <v>7.3000000000000001E-3</v>
      </c>
      <c r="R56" s="8">
        <f t="shared" si="11"/>
        <v>3.2099999999999997E-2</v>
      </c>
      <c r="S56" s="49"/>
      <c r="T56" s="49"/>
      <c r="U56" s="49"/>
      <c r="V56" s="49"/>
      <c r="W56" s="49"/>
    </row>
    <row r="57" spans="1:25" ht="79.5" customHeight="1" x14ac:dyDescent="0.25">
      <c r="A57" s="1226"/>
      <c r="B57" s="18" t="s">
        <v>247</v>
      </c>
      <c r="C57" s="17" t="s">
        <v>17</v>
      </c>
      <c r="D57" s="8">
        <v>0.05</v>
      </c>
      <c r="E57" s="8">
        <v>0.03</v>
      </c>
      <c r="F57" s="18">
        <v>1.4</v>
      </c>
      <c r="G57" s="8">
        <v>1</v>
      </c>
      <c r="H57" s="8">
        <v>0.01</v>
      </c>
      <c r="I57" s="8" t="s">
        <v>47</v>
      </c>
      <c r="J57" s="8">
        <v>0.5</v>
      </c>
      <c r="K57" s="8">
        <v>0.5</v>
      </c>
      <c r="L57" s="8">
        <v>10</v>
      </c>
      <c r="M57" s="8">
        <f>(8995+9448)*0.1*1.97</f>
        <v>3633.2710000000002</v>
      </c>
      <c r="N57" s="8" t="s">
        <v>16</v>
      </c>
      <c r="O57" s="19" t="s">
        <v>49</v>
      </c>
      <c r="P57" s="8">
        <v>0</v>
      </c>
      <c r="Q57" s="8">
        <f>ROUND(((D57*E57*F57*G57*H57*J57*L57*1000000*K57/3600)*(1-P57)),4)</f>
        <v>1.46E-2</v>
      </c>
      <c r="R57" s="8">
        <f>ROUND((D57*E57*F57*G57*H57*J57*K57*M57*(1-P57)),4)</f>
        <v>1.9099999999999999E-2</v>
      </c>
      <c r="S57" s="50"/>
      <c r="T57" s="50"/>
      <c r="U57" s="50"/>
      <c r="V57" s="50"/>
      <c r="W57" s="50"/>
      <c r="X57" s="50"/>
      <c r="Y57" s="9"/>
    </row>
    <row r="58" spans="1:25" ht="51.75" customHeight="1" x14ac:dyDescent="0.25">
      <c r="A58" s="1226"/>
      <c r="B58" s="20" t="s">
        <v>1037</v>
      </c>
      <c r="C58" s="17" t="s">
        <v>17</v>
      </c>
      <c r="D58" s="8">
        <v>0.05</v>
      </c>
      <c r="E58" s="8">
        <v>0.03</v>
      </c>
      <c r="F58" s="18">
        <v>1.4</v>
      </c>
      <c r="G58" s="8">
        <v>1</v>
      </c>
      <c r="H58" s="8">
        <v>0.01</v>
      </c>
      <c r="I58" s="8" t="s">
        <v>47</v>
      </c>
      <c r="J58" s="8">
        <v>0.5</v>
      </c>
      <c r="K58" s="8">
        <v>0.5</v>
      </c>
      <c r="L58" s="8">
        <v>5</v>
      </c>
      <c r="M58" s="8">
        <f>(2146+1642)*0.1*1.97</f>
        <v>746.23599999999999</v>
      </c>
      <c r="N58" s="8" t="s">
        <v>16</v>
      </c>
      <c r="O58" s="19" t="s">
        <v>49</v>
      </c>
      <c r="P58" s="8">
        <v>0</v>
      </c>
      <c r="Q58" s="8">
        <f t="shared" ref="Q58:Q59" si="12">ROUND(((D58*E58*F58*G58*H58*J58*L58*1000000*K58/3600)*(1-P58)),4)</f>
        <v>7.3000000000000001E-3</v>
      </c>
      <c r="R58" s="8">
        <f t="shared" ref="R58:R59" si="13">ROUND((D58*E58*F58*G58*H58*J58*K58*M58*(1-P58)),4)</f>
        <v>3.8999999999999998E-3</v>
      </c>
      <c r="S58" s="50"/>
      <c r="T58" s="50"/>
      <c r="U58" s="50"/>
      <c r="V58" s="50"/>
      <c r="W58" s="50"/>
      <c r="X58" s="50"/>
      <c r="Y58" s="9"/>
    </row>
    <row r="59" spans="1:25" ht="51.75" customHeight="1" x14ac:dyDescent="0.25">
      <c r="A59" s="1226"/>
      <c r="B59" s="20" t="s">
        <v>1039</v>
      </c>
      <c r="C59" s="17" t="s">
        <v>17</v>
      </c>
      <c r="D59" s="8">
        <v>0.05</v>
      </c>
      <c r="E59" s="8">
        <v>0.03</v>
      </c>
      <c r="F59" s="18">
        <v>1.4</v>
      </c>
      <c r="G59" s="8">
        <v>1</v>
      </c>
      <c r="H59" s="8">
        <v>0.01</v>
      </c>
      <c r="I59" s="8" t="s">
        <v>47</v>
      </c>
      <c r="J59" s="8">
        <v>0.5</v>
      </c>
      <c r="K59" s="8">
        <v>0.5</v>
      </c>
      <c r="L59" s="8">
        <v>10</v>
      </c>
      <c r="M59" s="8">
        <v>10518</v>
      </c>
      <c r="N59" s="8" t="s">
        <v>16</v>
      </c>
      <c r="O59" s="19" t="s">
        <v>49</v>
      </c>
      <c r="P59" s="8">
        <v>0</v>
      </c>
      <c r="Q59" s="8">
        <f t="shared" si="12"/>
        <v>1.46E-2</v>
      </c>
      <c r="R59" s="8">
        <f t="shared" si="13"/>
        <v>5.5199999999999999E-2</v>
      </c>
      <c r="S59" s="50"/>
      <c r="T59" s="50"/>
      <c r="U59" s="50"/>
      <c r="V59" s="50"/>
      <c r="W59" s="50"/>
      <c r="X59" s="50"/>
      <c r="Y59" s="9"/>
    </row>
    <row r="60" spans="1:25" ht="24.95" customHeight="1" x14ac:dyDescent="0.25">
      <c r="A60" s="1226"/>
      <c r="B60" s="20" t="s">
        <v>248</v>
      </c>
      <c r="C60" s="17" t="s">
        <v>17</v>
      </c>
      <c r="D60" s="8">
        <v>0.05</v>
      </c>
      <c r="E60" s="8">
        <v>0.03</v>
      </c>
      <c r="F60" s="18">
        <v>1.4</v>
      </c>
      <c r="G60" s="8">
        <v>1</v>
      </c>
      <c r="H60" s="8">
        <v>0.01</v>
      </c>
      <c r="I60" s="8" t="s">
        <v>47</v>
      </c>
      <c r="J60" s="8">
        <v>0.5</v>
      </c>
      <c r="K60" s="8">
        <v>0.5</v>
      </c>
      <c r="L60" s="8">
        <v>5</v>
      </c>
      <c r="M60" s="8">
        <v>3700</v>
      </c>
      <c r="N60" s="8" t="s">
        <v>16</v>
      </c>
      <c r="O60" s="19" t="s">
        <v>49</v>
      </c>
      <c r="P60" s="8">
        <v>0</v>
      </c>
      <c r="Q60" s="8">
        <f t="shared" ref="Q60:Q61" si="14">ROUND(((D60*E60*F60*G60*H60*J60*L60*1000000*K60/3600)*(1-P60)),4)</f>
        <v>7.3000000000000001E-3</v>
      </c>
      <c r="R60" s="8">
        <f t="shared" ref="R60:R61" si="15">ROUND((D60*E60*F60*G60*H60*J60*K60*M60*(1-P60)),4)</f>
        <v>1.9400000000000001E-2</v>
      </c>
      <c r="S60" s="50"/>
      <c r="T60" s="50"/>
      <c r="U60" s="50"/>
      <c r="V60" s="50"/>
      <c r="W60" s="50"/>
      <c r="X60" s="50"/>
      <c r="Y60" s="9"/>
    </row>
    <row r="61" spans="1:25" ht="42" customHeight="1" x14ac:dyDescent="0.25">
      <c r="A61" s="1226"/>
      <c r="B61" s="20" t="s">
        <v>1038</v>
      </c>
      <c r="C61" s="17" t="s">
        <v>202</v>
      </c>
      <c r="D61" s="8">
        <v>0.05</v>
      </c>
      <c r="E61" s="8">
        <v>0.03</v>
      </c>
      <c r="F61" s="18">
        <v>1.4</v>
      </c>
      <c r="G61" s="8">
        <v>1</v>
      </c>
      <c r="H61" s="8">
        <v>0.01</v>
      </c>
      <c r="I61" s="8" t="s">
        <v>47</v>
      </c>
      <c r="J61" s="8">
        <v>0.5</v>
      </c>
      <c r="K61" s="8">
        <v>0.5</v>
      </c>
      <c r="L61" s="8">
        <v>5</v>
      </c>
      <c r="M61" s="8">
        <v>1864</v>
      </c>
      <c r="N61" s="8" t="s">
        <v>16</v>
      </c>
      <c r="O61" s="19" t="s">
        <v>49</v>
      </c>
      <c r="P61" s="8">
        <v>0</v>
      </c>
      <c r="Q61" s="8">
        <f t="shared" si="14"/>
        <v>7.3000000000000001E-3</v>
      </c>
      <c r="R61" s="8">
        <f t="shared" si="15"/>
        <v>9.7999999999999997E-3</v>
      </c>
      <c r="S61" s="50"/>
      <c r="T61" s="50"/>
      <c r="U61" s="50"/>
      <c r="V61" s="50"/>
      <c r="W61" s="50"/>
      <c r="X61" s="50"/>
      <c r="Y61" s="9"/>
    </row>
    <row r="62" spans="1:25" ht="39.75" customHeight="1" x14ac:dyDescent="0.25">
      <c r="A62" s="1226"/>
      <c r="B62" s="20" t="s">
        <v>1040</v>
      </c>
      <c r="C62" s="17" t="s">
        <v>17</v>
      </c>
      <c r="D62" s="8">
        <v>0.05</v>
      </c>
      <c r="E62" s="8">
        <v>0.03</v>
      </c>
      <c r="F62" s="18">
        <v>1.4</v>
      </c>
      <c r="G62" s="8">
        <v>1</v>
      </c>
      <c r="H62" s="8">
        <v>0.01</v>
      </c>
      <c r="I62" s="8" t="s">
        <v>47</v>
      </c>
      <c r="J62" s="8">
        <v>0.5</v>
      </c>
      <c r="K62" s="8">
        <v>0.5</v>
      </c>
      <c r="L62" s="8">
        <v>5</v>
      </c>
      <c r="M62" s="8">
        <v>2128</v>
      </c>
      <c r="N62" s="8" t="s">
        <v>16</v>
      </c>
      <c r="O62" s="19" t="s">
        <v>49</v>
      </c>
      <c r="P62" s="8">
        <v>0</v>
      </c>
      <c r="Q62" s="8">
        <f t="shared" ref="Q62:Q63" si="16">ROUND(((D62*E62*F62*G62*H62*J62*L62*1000000*K62/3600)*(1-P62)),4)</f>
        <v>7.3000000000000001E-3</v>
      </c>
      <c r="R62" s="8">
        <f t="shared" ref="R62" si="17">ROUND((D62*E62*F62*G62*H62*J62*K62*M62*(1-P62)),4)</f>
        <v>1.12E-2</v>
      </c>
      <c r="S62" s="49"/>
      <c r="T62" s="49"/>
      <c r="U62" s="49"/>
      <c r="V62" s="49"/>
      <c r="W62" s="49"/>
    </row>
    <row r="63" spans="1:25" ht="51" x14ac:dyDescent="0.25">
      <c r="A63" s="1226"/>
      <c r="B63" s="20" t="s">
        <v>250</v>
      </c>
      <c r="C63" s="17" t="s">
        <v>251</v>
      </c>
      <c r="D63" s="8">
        <v>0.04</v>
      </c>
      <c r="E63" s="8">
        <v>0.02</v>
      </c>
      <c r="F63" s="18">
        <v>1.4</v>
      </c>
      <c r="G63" s="8">
        <v>1</v>
      </c>
      <c r="H63" s="8">
        <v>0.01</v>
      </c>
      <c r="I63" s="8" t="s">
        <v>47</v>
      </c>
      <c r="J63" s="8">
        <v>0.5</v>
      </c>
      <c r="K63" s="8">
        <v>0.5</v>
      </c>
      <c r="L63" s="8">
        <v>10</v>
      </c>
      <c r="M63" s="8">
        <v>10021</v>
      </c>
      <c r="N63" s="8" t="s">
        <v>16</v>
      </c>
      <c r="O63" s="19" t="s">
        <v>49</v>
      </c>
      <c r="P63" s="8">
        <v>0.8</v>
      </c>
      <c r="Q63" s="8">
        <f t="shared" si="16"/>
        <v>1.6000000000000001E-3</v>
      </c>
      <c r="R63" s="8">
        <f>ROUND((D63*E63*F63*G63*H63*J63*K63*M63*(1-P63)),4)</f>
        <v>5.5999999999999999E-3</v>
      </c>
      <c r="S63" s="50"/>
      <c r="T63" s="49"/>
      <c r="U63" s="49"/>
      <c r="V63" s="49"/>
      <c r="W63" s="49"/>
    </row>
    <row r="64" spans="1:25" ht="25.5" x14ac:dyDescent="0.25">
      <c r="A64" s="1237"/>
      <c r="B64" s="20" t="s">
        <v>304</v>
      </c>
      <c r="C64" s="17" t="s">
        <v>235</v>
      </c>
      <c r="D64" s="8">
        <v>0.02</v>
      </c>
      <c r="E64" s="8">
        <v>0.01</v>
      </c>
      <c r="F64" s="18">
        <v>1.4</v>
      </c>
      <c r="G64" s="8">
        <v>1</v>
      </c>
      <c r="H64" s="8">
        <v>0.01</v>
      </c>
      <c r="I64" s="8" t="s">
        <v>47</v>
      </c>
      <c r="J64" s="8">
        <v>0.5</v>
      </c>
      <c r="K64" s="8">
        <v>0.5</v>
      </c>
      <c r="L64" s="8">
        <v>10</v>
      </c>
      <c r="M64" s="8">
        <v>2293</v>
      </c>
      <c r="N64" s="8" t="s">
        <v>16</v>
      </c>
      <c r="O64" s="19" t="s">
        <v>49</v>
      </c>
      <c r="P64" s="8">
        <v>0.8</v>
      </c>
      <c r="Q64" s="8">
        <f t="shared" ref="Q64" si="18">ROUND(((D64*E64*F64*G64*H64*J64*L64*1000000*K64/3600)*(1-P64)),4)</f>
        <v>4.0000000000000002E-4</v>
      </c>
      <c r="R64" s="8">
        <f>ROUND((D64*E64*F64*G64*H64*J64*K64*M64*(1-P64)),4)</f>
        <v>2.9999999999999997E-4</v>
      </c>
      <c r="S64" s="50"/>
      <c r="T64" s="49"/>
      <c r="U64" s="49"/>
      <c r="V64" s="49"/>
      <c r="W64" s="49"/>
    </row>
    <row r="65" spans="1:25" x14ac:dyDescent="0.25">
      <c r="A65" s="1206" t="s">
        <v>72</v>
      </c>
      <c r="B65" s="1207"/>
      <c r="C65" s="1207"/>
      <c r="D65" s="1207"/>
      <c r="E65" s="1207"/>
      <c r="F65" s="1207"/>
      <c r="G65" s="1207"/>
      <c r="H65" s="1207"/>
      <c r="I65" s="1207"/>
      <c r="J65" s="1207"/>
      <c r="K65" s="1207"/>
      <c r="L65" s="1207"/>
      <c r="M65" s="1207"/>
      <c r="N65" s="1207"/>
      <c r="O65" s="1207"/>
      <c r="P65" s="1207"/>
      <c r="Q65" s="1207"/>
      <c r="R65" s="1208"/>
      <c r="S65" s="49"/>
      <c r="T65" s="49"/>
      <c r="U65" s="49"/>
      <c r="V65" s="49"/>
      <c r="W65" s="49"/>
    </row>
    <row r="66" spans="1:25" s="148" customFormat="1" ht="25.5" x14ac:dyDescent="0.25">
      <c r="A66" s="1136" t="s">
        <v>424</v>
      </c>
      <c r="B66" s="1137"/>
      <c r="C66" s="1137"/>
      <c r="D66" s="1137"/>
      <c r="E66" s="1137"/>
      <c r="F66" s="1137"/>
      <c r="G66" s="1137"/>
      <c r="H66" s="1137"/>
      <c r="I66" s="1137"/>
      <c r="J66" s="1137"/>
      <c r="K66" s="1137"/>
      <c r="L66" s="1137"/>
      <c r="M66" s="1138"/>
      <c r="N66" s="194" t="s">
        <v>16</v>
      </c>
      <c r="O66" s="225" t="s">
        <v>49</v>
      </c>
      <c r="P66" s="8"/>
      <c r="Q66" s="194">
        <f>MAX(Q55,Q56,Q57,Q58,Q59,Q60,Q62,Q63,Q61,Q64)</f>
        <v>2.1899999999999999E-2</v>
      </c>
      <c r="R66" s="194">
        <f>R55+R56+R57+R58+R59+R60+R62+R63+R61+R64</f>
        <v>0.2787</v>
      </c>
      <c r="S66" s="150"/>
      <c r="T66" s="150"/>
      <c r="U66" s="150"/>
      <c r="V66" s="150"/>
      <c r="W66" s="150"/>
    </row>
    <row r="67" spans="1:25" ht="15" customHeight="1" x14ac:dyDescent="0.25">
      <c r="A67" s="1171" t="s">
        <v>257</v>
      </c>
      <c r="B67" s="1216"/>
      <c r="C67" s="1216"/>
      <c r="D67" s="1216"/>
      <c r="E67" s="1216"/>
      <c r="F67" s="1216"/>
      <c r="G67" s="1216"/>
      <c r="H67" s="1216"/>
      <c r="I67" s="1216"/>
      <c r="J67" s="1216"/>
      <c r="K67" s="1216"/>
      <c r="L67" s="1216"/>
      <c r="M67" s="1216"/>
      <c r="N67" s="1216"/>
      <c r="O67" s="1216"/>
      <c r="P67" s="1216"/>
      <c r="Q67" s="1216"/>
      <c r="R67" s="1217"/>
      <c r="S67" s="49"/>
      <c r="T67" s="49"/>
      <c r="U67" s="49"/>
      <c r="V67" s="49"/>
      <c r="W67" s="49"/>
    </row>
    <row r="68" spans="1:25" ht="24.95" customHeight="1" x14ac:dyDescent="0.25">
      <c r="A68" s="1195">
        <v>705901</v>
      </c>
      <c r="B68" s="18" t="s">
        <v>243</v>
      </c>
      <c r="C68" s="17" t="s">
        <v>17</v>
      </c>
      <c r="D68" s="8">
        <v>0.05</v>
      </c>
      <c r="E68" s="8">
        <v>0.03</v>
      </c>
      <c r="F68" s="18">
        <v>1.4</v>
      </c>
      <c r="G68" s="8">
        <v>1</v>
      </c>
      <c r="H68" s="8">
        <v>0.01</v>
      </c>
      <c r="I68" s="8" t="s">
        <v>47</v>
      </c>
      <c r="J68" s="8">
        <v>0.5</v>
      </c>
      <c r="K68" s="8">
        <v>0.5</v>
      </c>
      <c r="L68" s="8">
        <v>15</v>
      </c>
      <c r="M68" s="8">
        <v>20685</v>
      </c>
      <c r="N68" s="8" t="s">
        <v>16</v>
      </c>
      <c r="O68" s="19" t="s">
        <v>49</v>
      </c>
      <c r="P68" s="8">
        <v>0</v>
      </c>
      <c r="Q68" s="8">
        <f t="shared" ref="Q68:Q69" si="19">ROUND(((D68*E68*F68*G68*H68*J68*L68*1000000*K68/3600)*(1-P68)),4)</f>
        <v>2.1899999999999999E-2</v>
      </c>
      <c r="R68" s="8">
        <f t="shared" ref="R68" si="20">ROUND((D68*E68*F68*G68*H68*J68*K68*M68*(1-P68)),4)</f>
        <v>0.1086</v>
      </c>
      <c r="S68" s="49"/>
      <c r="T68" s="49"/>
      <c r="U68" s="49"/>
      <c r="V68" s="49"/>
      <c r="W68" s="49"/>
    </row>
    <row r="69" spans="1:25" ht="24.95" customHeight="1" x14ac:dyDescent="0.25">
      <c r="A69" s="1195"/>
      <c r="B69" s="20" t="s">
        <v>259</v>
      </c>
      <c r="C69" s="17" t="s">
        <v>17</v>
      </c>
      <c r="D69" s="8">
        <v>0.05</v>
      </c>
      <c r="E69" s="8">
        <v>0.03</v>
      </c>
      <c r="F69" s="18">
        <v>1.4</v>
      </c>
      <c r="G69" s="8">
        <v>1</v>
      </c>
      <c r="H69" s="8">
        <v>0.01</v>
      </c>
      <c r="I69" s="8" t="s">
        <v>47</v>
      </c>
      <c r="J69" s="8">
        <v>0.5</v>
      </c>
      <c r="K69" s="8">
        <v>0.5</v>
      </c>
      <c r="L69" s="8">
        <v>10</v>
      </c>
      <c r="M69" s="8">
        <v>8274</v>
      </c>
      <c r="N69" s="8" t="s">
        <v>16</v>
      </c>
      <c r="O69" s="19" t="s">
        <v>49</v>
      </c>
      <c r="P69" s="8">
        <v>0</v>
      </c>
      <c r="Q69" s="8">
        <f t="shared" si="19"/>
        <v>1.46E-2</v>
      </c>
      <c r="R69" s="8">
        <f>ROUND((D69*E69*F69*G69*H69*J69*K69*M69*(1-P69)),4)</f>
        <v>4.3400000000000001E-2</v>
      </c>
      <c r="S69" s="49"/>
      <c r="T69" s="49"/>
      <c r="U69" s="49"/>
      <c r="V69" s="49"/>
      <c r="W69" s="49"/>
    </row>
    <row r="70" spans="1:25" ht="13.5" customHeight="1" x14ac:dyDescent="0.25">
      <c r="A70" s="1206" t="s">
        <v>72</v>
      </c>
      <c r="B70" s="1207"/>
      <c r="C70" s="1207"/>
      <c r="D70" s="1207"/>
      <c r="E70" s="1207"/>
      <c r="F70" s="1207"/>
      <c r="G70" s="1207"/>
      <c r="H70" s="1207"/>
      <c r="I70" s="1207"/>
      <c r="J70" s="1207"/>
      <c r="K70" s="1207"/>
      <c r="L70" s="1207"/>
      <c r="M70" s="1207"/>
      <c r="N70" s="1207"/>
      <c r="O70" s="1207"/>
      <c r="P70" s="1207"/>
      <c r="Q70" s="1207"/>
      <c r="R70" s="1208"/>
    </row>
    <row r="71" spans="1:25" ht="24.95" customHeight="1" x14ac:dyDescent="0.25">
      <c r="A71" s="1136" t="s">
        <v>444</v>
      </c>
      <c r="B71" s="1137"/>
      <c r="C71" s="1137"/>
      <c r="D71" s="1137"/>
      <c r="E71" s="1137"/>
      <c r="F71" s="1137"/>
      <c r="G71" s="1137"/>
      <c r="H71" s="1137"/>
      <c r="I71" s="1137"/>
      <c r="J71" s="1137"/>
      <c r="K71" s="1137"/>
      <c r="L71" s="1137"/>
      <c r="M71" s="1138"/>
      <c r="N71" s="194" t="s">
        <v>16</v>
      </c>
      <c r="O71" s="225" t="s">
        <v>49</v>
      </c>
      <c r="P71" s="8"/>
      <c r="Q71" s="194">
        <f>MAX(Q68,Q69)</f>
        <v>2.1899999999999999E-2</v>
      </c>
      <c r="R71" s="194">
        <f>R68+R69</f>
        <v>0.152</v>
      </c>
    </row>
    <row r="72" spans="1:25" x14ac:dyDescent="0.25">
      <c r="A72" s="1171" t="s">
        <v>264</v>
      </c>
      <c r="B72" s="1210"/>
      <c r="C72" s="1210"/>
      <c r="D72" s="1210"/>
      <c r="E72" s="1210"/>
      <c r="F72" s="1210"/>
      <c r="G72" s="1210"/>
      <c r="H72" s="1210"/>
      <c r="I72" s="1210"/>
      <c r="J72" s="1210"/>
      <c r="K72" s="1210"/>
      <c r="L72" s="1210"/>
      <c r="M72" s="1210"/>
      <c r="N72" s="1210"/>
      <c r="O72" s="1210"/>
      <c r="P72" s="1210"/>
      <c r="Q72" s="1210"/>
      <c r="R72" s="1211"/>
    </row>
    <row r="73" spans="1:25" ht="24.95" customHeight="1" x14ac:dyDescent="0.25">
      <c r="A73" s="1209">
        <v>707703</v>
      </c>
      <c r="B73" s="20" t="s">
        <v>265</v>
      </c>
      <c r="C73" s="17" t="s">
        <v>17</v>
      </c>
      <c r="D73" s="8">
        <v>0.05</v>
      </c>
      <c r="E73" s="8">
        <v>0.03</v>
      </c>
      <c r="F73" s="18">
        <v>1.4</v>
      </c>
      <c r="G73" s="8">
        <v>1</v>
      </c>
      <c r="H73" s="8">
        <v>0.01</v>
      </c>
      <c r="I73" s="8" t="s">
        <v>47</v>
      </c>
      <c r="J73" s="8">
        <v>0.5</v>
      </c>
      <c r="K73" s="8">
        <v>0.5</v>
      </c>
      <c r="L73" s="8">
        <v>5</v>
      </c>
      <c r="M73" s="8">
        <v>1481</v>
      </c>
      <c r="N73" s="8" t="s">
        <v>16</v>
      </c>
      <c r="O73" s="19" t="s">
        <v>49</v>
      </c>
      <c r="P73" s="8">
        <v>0</v>
      </c>
      <c r="Q73" s="8">
        <f t="shared" ref="Q73:Q74" si="21">ROUND(((D73*E73*F73*G73*H73*J73*L73*1000000*K73/3600)*(1-P73)),4)</f>
        <v>7.3000000000000001E-3</v>
      </c>
      <c r="R73" s="8">
        <f t="shared" ref="R73:R74" si="22">ROUND((D73*E73*F73*G73*H73*J73*K73*M73*(1-P73)),4)</f>
        <v>7.7999999999999996E-3</v>
      </c>
    </row>
    <row r="74" spans="1:25" ht="24.95" customHeight="1" x14ac:dyDescent="0.25">
      <c r="A74" s="1195"/>
      <c r="B74" s="18" t="s">
        <v>70</v>
      </c>
      <c r="C74" s="17" t="s">
        <v>17</v>
      </c>
      <c r="D74" s="8">
        <v>0.05</v>
      </c>
      <c r="E74" s="8">
        <v>0.03</v>
      </c>
      <c r="F74" s="18">
        <v>1.4</v>
      </c>
      <c r="G74" s="8">
        <v>1</v>
      </c>
      <c r="H74" s="8">
        <v>0.01</v>
      </c>
      <c r="I74" s="8" t="s">
        <v>47</v>
      </c>
      <c r="J74" s="8">
        <v>0.5</v>
      </c>
      <c r="K74" s="8">
        <v>0.5</v>
      </c>
      <c r="L74" s="8">
        <v>5</v>
      </c>
      <c r="M74" s="8">
        <v>804</v>
      </c>
      <c r="N74" s="8" t="s">
        <v>16</v>
      </c>
      <c r="O74" s="19" t="s">
        <v>49</v>
      </c>
      <c r="P74" s="8">
        <v>0</v>
      </c>
      <c r="Q74" s="8">
        <f t="shared" si="21"/>
        <v>7.3000000000000001E-3</v>
      </c>
      <c r="R74" s="8">
        <f t="shared" si="22"/>
        <v>4.1999999999999997E-3</v>
      </c>
    </row>
    <row r="75" spans="1:25" ht="76.5" x14ac:dyDescent="0.25">
      <c r="A75" s="1218"/>
      <c r="B75" s="18" t="s">
        <v>1046</v>
      </c>
      <c r="C75" s="17" t="s">
        <v>17</v>
      </c>
      <c r="D75" s="8">
        <v>0.05</v>
      </c>
      <c r="E75" s="8">
        <v>0.03</v>
      </c>
      <c r="F75" s="18">
        <v>1.4</v>
      </c>
      <c r="G75" s="8">
        <v>1</v>
      </c>
      <c r="H75" s="8">
        <v>0.01</v>
      </c>
      <c r="I75" s="8" t="s">
        <v>47</v>
      </c>
      <c r="J75" s="8">
        <v>0.5</v>
      </c>
      <c r="K75" s="8">
        <v>0.5</v>
      </c>
      <c r="L75" s="8">
        <v>5</v>
      </c>
      <c r="M75" s="8">
        <f>(11336)*0.1*1.97</f>
        <v>2233.1920000000005</v>
      </c>
      <c r="N75" s="8" t="s">
        <v>16</v>
      </c>
      <c r="O75" s="19" t="s">
        <v>49</v>
      </c>
      <c r="P75" s="8">
        <v>0</v>
      </c>
      <c r="Q75" s="8">
        <f>ROUND(((D75*E75*F75*G75*H75*J75*L75*1000000*K75/3600)*(1-P75)),4)</f>
        <v>7.3000000000000001E-3</v>
      </c>
      <c r="R75" s="8">
        <f>ROUND((D75*E75*F75*G75*H75*J75*K75*M75*(1-P75)),4)</f>
        <v>1.17E-2</v>
      </c>
      <c r="S75" s="50"/>
      <c r="T75" s="50"/>
      <c r="U75" s="50"/>
      <c r="V75" s="50"/>
      <c r="W75" s="50"/>
      <c r="X75" s="50"/>
      <c r="Y75" s="9"/>
    </row>
    <row r="76" spans="1:25" ht="67.5" customHeight="1" x14ac:dyDescent="0.25">
      <c r="A76" s="1218"/>
      <c r="B76" s="20" t="s">
        <v>1047</v>
      </c>
      <c r="C76" s="17" t="s">
        <v>17</v>
      </c>
      <c r="D76" s="8">
        <v>0.05</v>
      </c>
      <c r="E76" s="8">
        <v>0.03</v>
      </c>
      <c r="F76" s="18">
        <v>1.4</v>
      </c>
      <c r="G76" s="8">
        <v>1</v>
      </c>
      <c r="H76" s="8">
        <v>0.01</v>
      </c>
      <c r="I76" s="8" t="s">
        <v>47</v>
      </c>
      <c r="J76" s="8">
        <v>0.5</v>
      </c>
      <c r="K76" s="8">
        <v>0.5</v>
      </c>
      <c r="L76" s="8">
        <v>5</v>
      </c>
      <c r="M76" s="8">
        <v>7663</v>
      </c>
      <c r="N76" s="8" t="s">
        <v>16</v>
      </c>
      <c r="O76" s="19" t="s">
        <v>49</v>
      </c>
      <c r="P76" s="8">
        <v>0</v>
      </c>
      <c r="Q76" s="8">
        <f t="shared" ref="Q76:Q80" si="23">ROUND(((D76*E76*F76*G76*H76*J76*L76*1000000*K76/3600)*(1-P76)),4)</f>
        <v>7.3000000000000001E-3</v>
      </c>
      <c r="R76" s="8">
        <f t="shared" ref="R76:R80" si="24">ROUND((D76*E76*F76*G76*H76*J76*K76*M76*(1-P76)),4)</f>
        <v>4.02E-2</v>
      </c>
      <c r="S76" s="50"/>
      <c r="T76" s="50"/>
      <c r="U76" s="50"/>
      <c r="V76" s="50"/>
      <c r="W76" s="50"/>
      <c r="X76" s="50"/>
      <c r="Y76" s="9"/>
    </row>
    <row r="77" spans="1:25" ht="24.95" customHeight="1" x14ac:dyDescent="0.25">
      <c r="A77" s="1218"/>
      <c r="B77" s="20" t="s">
        <v>51</v>
      </c>
      <c r="C77" s="17" t="s">
        <v>17</v>
      </c>
      <c r="D77" s="8">
        <v>0.05</v>
      </c>
      <c r="E77" s="8">
        <v>0.03</v>
      </c>
      <c r="F77" s="18">
        <v>1.4</v>
      </c>
      <c r="G77" s="8">
        <v>1</v>
      </c>
      <c r="H77" s="8">
        <v>0.01</v>
      </c>
      <c r="I77" s="8" t="s">
        <v>47</v>
      </c>
      <c r="J77" s="8">
        <v>0.5</v>
      </c>
      <c r="K77" s="8">
        <v>0.5</v>
      </c>
      <c r="L77" s="8">
        <v>10</v>
      </c>
      <c r="M77" s="8">
        <v>1665</v>
      </c>
      <c r="N77" s="8" t="s">
        <v>16</v>
      </c>
      <c r="O77" s="19" t="s">
        <v>49</v>
      </c>
      <c r="P77" s="8">
        <v>0</v>
      </c>
      <c r="Q77" s="8">
        <f t="shared" si="23"/>
        <v>1.46E-2</v>
      </c>
      <c r="R77" s="8">
        <f t="shared" si="24"/>
        <v>8.6999999999999994E-3</v>
      </c>
      <c r="S77" s="50"/>
      <c r="T77" s="50"/>
      <c r="U77" s="50"/>
      <c r="V77" s="50"/>
      <c r="W77" s="50"/>
      <c r="X77" s="50"/>
      <c r="Y77" s="9"/>
    </row>
    <row r="78" spans="1:25" ht="24.95" customHeight="1" x14ac:dyDescent="0.25">
      <c r="A78" s="1218"/>
      <c r="B78" s="20" t="s">
        <v>248</v>
      </c>
      <c r="C78" s="17" t="s">
        <v>17</v>
      </c>
      <c r="D78" s="8">
        <v>0.05</v>
      </c>
      <c r="E78" s="8">
        <v>0.03</v>
      </c>
      <c r="F78" s="18">
        <v>1.4</v>
      </c>
      <c r="G78" s="8">
        <v>1</v>
      </c>
      <c r="H78" s="8">
        <v>0.01</v>
      </c>
      <c r="I78" s="8" t="s">
        <v>47</v>
      </c>
      <c r="J78" s="8">
        <v>0.5</v>
      </c>
      <c r="K78" s="8">
        <v>0.5</v>
      </c>
      <c r="L78" s="8">
        <v>5</v>
      </c>
      <c r="M78" s="8">
        <v>644</v>
      </c>
      <c r="N78" s="8" t="s">
        <v>16</v>
      </c>
      <c r="O78" s="19" t="s">
        <v>49</v>
      </c>
      <c r="P78" s="8">
        <v>0</v>
      </c>
      <c r="Q78" s="8">
        <f t="shared" si="23"/>
        <v>7.3000000000000001E-3</v>
      </c>
      <c r="R78" s="8">
        <f t="shared" si="24"/>
        <v>3.3999999999999998E-3</v>
      </c>
    </row>
    <row r="79" spans="1:25" ht="24.95" customHeight="1" x14ac:dyDescent="0.25">
      <c r="A79" s="1218"/>
      <c r="B79" s="20" t="s">
        <v>249</v>
      </c>
      <c r="C79" s="17" t="s">
        <v>17</v>
      </c>
      <c r="D79" s="8">
        <v>0.05</v>
      </c>
      <c r="E79" s="8">
        <v>0.03</v>
      </c>
      <c r="F79" s="18">
        <v>1.4</v>
      </c>
      <c r="G79" s="8">
        <v>1</v>
      </c>
      <c r="H79" s="8">
        <v>0.01</v>
      </c>
      <c r="I79" s="8" t="s">
        <v>47</v>
      </c>
      <c r="J79" s="8">
        <v>0.5</v>
      </c>
      <c r="K79" s="8">
        <v>0.5</v>
      </c>
      <c r="L79" s="8">
        <v>5</v>
      </c>
      <c r="M79" s="8">
        <v>115</v>
      </c>
      <c r="N79" s="8" t="s">
        <v>16</v>
      </c>
      <c r="O79" s="19" t="s">
        <v>49</v>
      </c>
      <c r="P79" s="8">
        <v>0</v>
      </c>
      <c r="Q79" s="8">
        <f t="shared" si="23"/>
        <v>7.3000000000000001E-3</v>
      </c>
      <c r="R79" s="8">
        <f t="shared" si="24"/>
        <v>5.9999999999999995E-4</v>
      </c>
    </row>
    <row r="80" spans="1:25" ht="24.95" customHeight="1" x14ac:dyDescent="0.25">
      <c r="A80" s="1218"/>
      <c r="B80" s="20" t="s">
        <v>425</v>
      </c>
      <c r="C80" s="17" t="s">
        <v>202</v>
      </c>
      <c r="D80" s="8">
        <v>0.05</v>
      </c>
      <c r="E80" s="8">
        <v>0.03</v>
      </c>
      <c r="F80" s="18">
        <v>1.4</v>
      </c>
      <c r="G80" s="8">
        <v>1</v>
      </c>
      <c r="H80" s="8">
        <v>0.01</v>
      </c>
      <c r="I80" s="8" t="s">
        <v>47</v>
      </c>
      <c r="J80" s="8">
        <v>0.5</v>
      </c>
      <c r="K80" s="8">
        <v>0.5</v>
      </c>
      <c r="L80" s="8">
        <v>5</v>
      </c>
      <c r="M80" s="8">
        <v>1175</v>
      </c>
      <c r="N80" s="8" t="s">
        <v>16</v>
      </c>
      <c r="O80" s="19" t="s">
        <v>49</v>
      </c>
      <c r="P80" s="8">
        <v>0</v>
      </c>
      <c r="Q80" s="8">
        <f t="shared" si="23"/>
        <v>7.3000000000000001E-3</v>
      </c>
      <c r="R80" s="8">
        <f t="shared" si="24"/>
        <v>6.1999999999999998E-3</v>
      </c>
    </row>
    <row r="81" spans="1:24" ht="38.25" x14ac:dyDescent="0.25">
      <c r="A81" s="1218"/>
      <c r="B81" s="20" t="s">
        <v>266</v>
      </c>
      <c r="C81" s="17" t="s">
        <v>17</v>
      </c>
      <c r="D81" s="8">
        <v>0.05</v>
      </c>
      <c r="E81" s="8">
        <v>0.03</v>
      </c>
      <c r="F81" s="18">
        <v>1.4</v>
      </c>
      <c r="G81" s="8">
        <v>1</v>
      </c>
      <c r="H81" s="8">
        <v>0.01</v>
      </c>
      <c r="I81" s="8" t="s">
        <v>47</v>
      </c>
      <c r="J81" s="8">
        <v>0.5</v>
      </c>
      <c r="K81" s="8">
        <v>0.5</v>
      </c>
      <c r="L81" s="8">
        <v>20</v>
      </c>
      <c r="M81" s="8">
        <v>15465</v>
      </c>
      <c r="N81" s="8" t="s">
        <v>16</v>
      </c>
      <c r="O81" s="19" t="s">
        <v>49</v>
      </c>
      <c r="P81" s="8">
        <v>0</v>
      </c>
      <c r="Q81" s="8">
        <f t="shared" ref="Q81" si="25">ROUND(((D81*E81*F81*G81*H81*J81*L81*1000000*K81/3600)*(1-P81)),4)</f>
        <v>2.92E-2</v>
      </c>
      <c r="R81" s="8">
        <f t="shared" ref="R81" si="26">ROUND((D81*E81*F81*G81*H81*J81*K81*M81*(1-P81)),4)</f>
        <v>8.1199999999999994E-2</v>
      </c>
      <c r="S81" s="50"/>
    </row>
    <row r="82" spans="1:24" ht="24.95" customHeight="1" x14ac:dyDescent="0.25">
      <c r="A82" s="1218"/>
      <c r="B82" s="20" t="s">
        <v>267</v>
      </c>
      <c r="C82" s="17" t="s">
        <v>17</v>
      </c>
      <c r="D82" s="8">
        <v>0.05</v>
      </c>
      <c r="E82" s="8">
        <v>0.03</v>
      </c>
      <c r="F82" s="18">
        <v>1.4</v>
      </c>
      <c r="G82" s="8">
        <v>1</v>
      </c>
      <c r="H82" s="8">
        <v>0.01</v>
      </c>
      <c r="I82" s="8" t="s">
        <v>47</v>
      </c>
      <c r="J82" s="8">
        <v>0.5</v>
      </c>
      <c r="K82" s="8">
        <v>0.5</v>
      </c>
      <c r="L82" s="8">
        <v>5</v>
      </c>
      <c r="M82" s="8">
        <v>6022</v>
      </c>
      <c r="N82" s="8" t="s">
        <v>16</v>
      </c>
      <c r="O82" s="19" t="s">
        <v>49</v>
      </c>
      <c r="P82" s="8">
        <v>0</v>
      </c>
      <c r="Q82" s="8">
        <f t="shared" ref="Q82:Q83" si="27">ROUND(((D82*E82*F82*G82*H82*J82*L82*1000000*K82/3600)*(1-P82)),4)</f>
        <v>7.3000000000000001E-3</v>
      </c>
      <c r="R82" s="8">
        <f t="shared" ref="R82" si="28">ROUND((D82*E82*F82*G82*H82*J82*K82*M82*(1-P82)),4)</f>
        <v>3.1600000000000003E-2</v>
      </c>
      <c r="S82" s="50"/>
    </row>
    <row r="83" spans="1:24" ht="38.25" x14ac:dyDescent="0.25">
      <c r="A83" s="1218"/>
      <c r="B83" s="20" t="s">
        <v>245</v>
      </c>
      <c r="C83" s="17" t="s">
        <v>246</v>
      </c>
      <c r="D83" s="8">
        <v>0.02</v>
      </c>
      <c r="E83" s="8">
        <v>0.01</v>
      </c>
      <c r="F83" s="18">
        <v>1.4</v>
      </c>
      <c r="G83" s="8">
        <v>1</v>
      </c>
      <c r="H83" s="8">
        <v>0.01</v>
      </c>
      <c r="I83" s="8" t="s">
        <v>47</v>
      </c>
      <c r="J83" s="8">
        <v>0.5</v>
      </c>
      <c r="K83" s="8">
        <v>0.5</v>
      </c>
      <c r="L83" s="8">
        <v>5</v>
      </c>
      <c r="M83" s="8">
        <v>332</v>
      </c>
      <c r="N83" s="8" t="s">
        <v>16</v>
      </c>
      <c r="O83" s="19" t="s">
        <v>49</v>
      </c>
      <c r="P83" s="8">
        <v>0.8</v>
      </c>
      <c r="Q83" s="8">
        <f t="shared" si="27"/>
        <v>2.0000000000000001E-4</v>
      </c>
      <c r="R83" s="8">
        <f>ROUND((D83*E83*F83*G83*H83*J83*K83*M83*(1-P83)),5)</f>
        <v>5.0000000000000002E-5</v>
      </c>
      <c r="S83" s="50"/>
    </row>
    <row r="84" spans="1:24" ht="25.5" x14ac:dyDescent="0.25">
      <c r="A84" s="1218"/>
      <c r="B84" s="20" t="s">
        <v>243</v>
      </c>
      <c r="C84" s="17" t="s">
        <v>17</v>
      </c>
      <c r="D84" s="8">
        <v>0.05</v>
      </c>
      <c r="E84" s="8">
        <v>0.03</v>
      </c>
      <c r="F84" s="18">
        <v>1.4</v>
      </c>
      <c r="G84" s="8">
        <v>1</v>
      </c>
      <c r="H84" s="8">
        <v>0.01</v>
      </c>
      <c r="I84" s="8" t="s">
        <v>47</v>
      </c>
      <c r="J84" s="8">
        <v>0.5</v>
      </c>
      <c r="K84" s="8">
        <v>0.5</v>
      </c>
      <c r="L84" s="8">
        <v>5</v>
      </c>
      <c r="M84" s="8">
        <v>502</v>
      </c>
      <c r="N84" s="8" t="s">
        <v>16</v>
      </c>
      <c r="O84" s="19" t="s">
        <v>49</v>
      </c>
      <c r="P84" s="8">
        <v>0</v>
      </c>
      <c r="Q84" s="8">
        <f t="shared" ref="Q84" si="29">ROUND(((D84*E84*F84*G84*H84*J84*L84*1000000*K84/3600)*(1-P84)),4)</f>
        <v>7.3000000000000001E-3</v>
      </c>
      <c r="R84" s="8">
        <f t="shared" ref="R84" si="30">ROUND((D84*E84*F84*G84*H84*J84*K84*M84*(1-P84)),4)</f>
        <v>2.5999999999999999E-3</v>
      </c>
      <c r="S84" s="50"/>
    </row>
    <row r="85" spans="1:24" ht="63.75" x14ac:dyDescent="0.25">
      <c r="A85" s="1220"/>
      <c r="B85" s="8" t="s">
        <v>1047</v>
      </c>
      <c r="C85" s="17" t="s">
        <v>17</v>
      </c>
      <c r="D85" s="8">
        <v>0.05</v>
      </c>
      <c r="E85" s="8">
        <v>0.03</v>
      </c>
      <c r="F85" s="18">
        <v>1.4</v>
      </c>
      <c r="G85" s="8">
        <v>1</v>
      </c>
      <c r="H85" s="8">
        <v>0.01</v>
      </c>
      <c r="I85" s="8" t="s">
        <v>47</v>
      </c>
      <c r="J85" s="8">
        <v>0.5</v>
      </c>
      <c r="K85" s="8">
        <v>0.5</v>
      </c>
      <c r="L85" s="8">
        <v>5</v>
      </c>
      <c r="M85" s="8">
        <v>177</v>
      </c>
      <c r="N85" s="8" t="s">
        <v>16</v>
      </c>
      <c r="O85" s="19" t="s">
        <v>49</v>
      </c>
      <c r="P85" s="8">
        <v>0</v>
      </c>
      <c r="Q85" s="8">
        <f t="shared" ref="Q85" si="31">ROUND(((D85*E85*F85*G85*H85*J85*L85*1000000*K85/3600)*(1-P85)),4)</f>
        <v>7.3000000000000001E-3</v>
      </c>
      <c r="R85" s="8">
        <f t="shared" ref="R85" si="32">ROUND((D85*E85*F85*G85*H85*J85*K85*M85*(1-P85)),4)</f>
        <v>8.9999999999999998E-4</v>
      </c>
      <c r="S85" s="50"/>
    </row>
    <row r="86" spans="1:24" ht="51" x14ac:dyDescent="0.25">
      <c r="A86" s="1220"/>
      <c r="B86" s="8" t="s">
        <v>1039</v>
      </c>
      <c r="C86" s="17" t="s">
        <v>17</v>
      </c>
      <c r="D86" s="8">
        <v>0.05</v>
      </c>
      <c r="E86" s="8">
        <v>0.03</v>
      </c>
      <c r="F86" s="18">
        <v>1.4</v>
      </c>
      <c r="G86" s="8">
        <v>1</v>
      </c>
      <c r="H86" s="8">
        <v>0.01</v>
      </c>
      <c r="I86" s="8" t="s">
        <v>47</v>
      </c>
      <c r="J86" s="8">
        <v>0.5</v>
      </c>
      <c r="K86" s="8">
        <v>0.5</v>
      </c>
      <c r="L86" s="8">
        <v>5</v>
      </c>
      <c r="M86" s="8">
        <v>493</v>
      </c>
      <c r="N86" s="8" t="s">
        <v>16</v>
      </c>
      <c r="O86" s="19" t="s">
        <v>49</v>
      </c>
      <c r="P86" s="8">
        <v>0</v>
      </c>
      <c r="Q86" s="8">
        <f t="shared" ref="Q86" si="33">ROUND(((D86*E86*F86*G86*H86*J86*L86*1000000*K86/3600)*(1-P86)),4)</f>
        <v>7.3000000000000001E-3</v>
      </c>
      <c r="R86" s="8">
        <f t="shared" ref="R86" si="34">ROUND((D86*E86*F86*G86*H86*J86*K86*M86*(1-P86)),4)</f>
        <v>2.5999999999999999E-3</v>
      </c>
      <c r="S86" s="50"/>
    </row>
    <row r="87" spans="1:24" ht="38.25" x14ac:dyDescent="0.25">
      <c r="A87" s="1221"/>
      <c r="B87" s="8" t="s">
        <v>1040</v>
      </c>
      <c r="C87" s="17" t="s">
        <v>17</v>
      </c>
      <c r="D87" s="8">
        <v>0.05</v>
      </c>
      <c r="E87" s="8">
        <v>0.03</v>
      </c>
      <c r="F87" s="18">
        <v>1.4</v>
      </c>
      <c r="G87" s="8">
        <v>1</v>
      </c>
      <c r="H87" s="8">
        <v>0.01</v>
      </c>
      <c r="I87" s="8" t="s">
        <v>47</v>
      </c>
      <c r="J87" s="8">
        <v>0.5</v>
      </c>
      <c r="K87" s="8">
        <v>0.5</v>
      </c>
      <c r="L87" s="8">
        <v>5</v>
      </c>
      <c r="M87" s="8">
        <v>538</v>
      </c>
      <c r="N87" s="8" t="s">
        <v>16</v>
      </c>
      <c r="O87" s="19" t="s">
        <v>49</v>
      </c>
      <c r="P87" s="8">
        <v>0</v>
      </c>
      <c r="Q87" s="8">
        <f t="shared" ref="Q87" si="35">ROUND(((D87*E87*F87*G87*H87*J87*L87*1000000*K87/3600)*(1-P87)),4)</f>
        <v>7.3000000000000001E-3</v>
      </c>
      <c r="R87" s="8">
        <f t="shared" ref="R87" si="36">ROUND((D87*E87*F87*G87*H87*J87*K87*M87*(1-P87)),4)</f>
        <v>2.8E-3</v>
      </c>
      <c r="S87" s="50"/>
    </row>
    <row r="88" spans="1:24" x14ac:dyDescent="0.25">
      <c r="A88" s="1206" t="s">
        <v>72</v>
      </c>
      <c r="B88" s="1207"/>
      <c r="C88" s="1207"/>
      <c r="D88" s="1207"/>
      <c r="E88" s="1207"/>
      <c r="F88" s="1207"/>
      <c r="G88" s="1207"/>
      <c r="H88" s="1207"/>
      <c r="I88" s="1207"/>
      <c r="J88" s="1207"/>
      <c r="K88" s="1207"/>
      <c r="L88" s="1207"/>
      <c r="M88" s="1207"/>
      <c r="N88" s="1207"/>
      <c r="O88" s="1207"/>
      <c r="P88" s="1207"/>
      <c r="Q88" s="1207"/>
      <c r="R88" s="1208"/>
    </row>
    <row r="89" spans="1:24" s="148" customFormat="1" ht="24.95" customHeight="1" x14ac:dyDescent="0.25">
      <c r="A89" s="1136" t="s">
        <v>472</v>
      </c>
      <c r="B89" s="1137"/>
      <c r="C89" s="1137"/>
      <c r="D89" s="1137"/>
      <c r="E89" s="1137"/>
      <c r="F89" s="1137"/>
      <c r="G89" s="1137"/>
      <c r="H89" s="1137"/>
      <c r="I89" s="1137"/>
      <c r="J89" s="1137"/>
      <c r="K89" s="1137"/>
      <c r="L89" s="1137"/>
      <c r="M89" s="1138"/>
      <c r="N89" s="194" t="s">
        <v>16</v>
      </c>
      <c r="O89" s="225" t="s">
        <v>49</v>
      </c>
      <c r="P89" s="8"/>
      <c r="Q89" s="194">
        <f>MAX(Q73,Q74,Q85,Q75,Q76,Q77,Q78,Q79,Q86,Q87,Q81,Q82,Q83,Q84,Q80)</f>
        <v>2.92E-2</v>
      </c>
      <c r="R89" s="194">
        <f>R73+R74+R85+R75+R76+R77+R78+R79+R86+R87+R81+R82+R83+R84+R80</f>
        <v>0.20454999999999998</v>
      </c>
      <c r="S89" s="150"/>
      <c r="T89" s="150"/>
      <c r="U89" s="150"/>
      <c r="V89" s="150"/>
      <c r="W89" s="150"/>
    </row>
    <row r="90" spans="1:24" x14ac:dyDescent="0.25">
      <c r="A90" s="1171" t="s">
        <v>276</v>
      </c>
      <c r="B90" s="1210"/>
      <c r="C90" s="1210"/>
      <c r="D90" s="1210"/>
      <c r="E90" s="1210"/>
      <c r="F90" s="1210"/>
      <c r="G90" s="1210"/>
      <c r="H90" s="1210"/>
      <c r="I90" s="1210"/>
      <c r="J90" s="1210"/>
      <c r="K90" s="1210"/>
      <c r="L90" s="1210"/>
      <c r="M90" s="1210"/>
      <c r="N90" s="1210"/>
      <c r="O90" s="1210"/>
      <c r="P90" s="1210"/>
      <c r="Q90" s="1210"/>
      <c r="R90" s="1211"/>
    </row>
    <row r="91" spans="1:24" ht="25.5" x14ac:dyDescent="0.25">
      <c r="A91" s="1209">
        <v>708403</v>
      </c>
      <c r="B91" s="20" t="s">
        <v>278</v>
      </c>
      <c r="C91" s="17" t="s">
        <v>17</v>
      </c>
      <c r="D91" s="8">
        <v>0.05</v>
      </c>
      <c r="E91" s="8">
        <v>0.03</v>
      </c>
      <c r="F91" s="18">
        <v>1.4</v>
      </c>
      <c r="G91" s="8">
        <v>1</v>
      </c>
      <c r="H91" s="8">
        <v>0.01</v>
      </c>
      <c r="I91" s="8" t="s">
        <v>47</v>
      </c>
      <c r="J91" s="8">
        <v>0.5</v>
      </c>
      <c r="K91" s="8">
        <v>0.5</v>
      </c>
      <c r="L91" s="8">
        <v>30</v>
      </c>
      <c r="M91" s="8">
        <v>62897</v>
      </c>
      <c r="N91" s="8" t="s">
        <v>16</v>
      </c>
      <c r="O91" s="19" t="s">
        <v>49</v>
      </c>
      <c r="P91" s="8">
        <v>0</v>
      </c>
      <c r="Q91" s="8">
        <f t="shared" ref="Q91:Q93" si="37">ROUND(((D91*E91*F91*G91*H91*J91*L91*1000000*K91/3600)*(1-P91)),4)</f>
        <v>4.3799999999999999E-2</v>
      </c>
      <c r="R91" s="8">
        <f t="shared" ref="R91:R93" si="38">ROUND((D91*E91*F91*G91*H91*J91*K91*M91*(1-P91)),4)</f>
        <v>0.33019999999999999</v>
      </c>
      <c r="S91" s="50"/>
    </row>
    <row r="92" spans="1:24" ht="25.5" x14ac:dyDescent="0.25">
      <c r="A92" s="1195"/>
      <c r="B92" s="20" t="s">
        <v>277</v>
      </c>
      <c r="C92" s="17" t="s">
        <v>17</v>
      </c>
      <c r="D92" s="8">
        <v>0.05</v>
      </c>
      <c r="E92" s="8">
        <v>0.03</v>
      </c>
      <c r="F92" s="18">
        <v>1.4</v>
      </c>
      <c r="G92" s="8">
        <v>1</v>
      </c>
      <c r="H92" s="8">
        <v>0.01</v>
      </c>
      <c r="I92" s="8" t="s">
        <v>47</v>
      </c>
      <c r="J92" s="8">
        <v>0.5</v>
      </c>
      <c r="K92" s="8">
        <v>0.5</v>
      </c>
      <c r="L92" s="8">
        <v>15</v>
      </c>
      <c r="M92" s="8">
        <v>12000</v>
      </c>
      <c r="N92" s="8" t="s">
        <v>16</v>
      </c>
      <c r="O92" s="19" t="s">
        <v>49</v>
      </c>
      <c r="P92" s="8">
        <v>0</v>
      </c>
      <c r="Q92" s="8">
        <f t="shared" ref="Q92" si="39">ROUND(((D92*E92*F92*G92*H92*J92*L92*1000000*K92/3600)*(1-P92)),4)</f>
        <v>2.1899999999999999E-2</v>
      </c>
      <c r="R92" s="8">
        <f t="shared" ref="R92" si="40">ROUND((D92*E92*F92*G92*H92*J92*K92*M92*(1-P92)),4)</f>
        <v>6.3E-2</v>
      </c>
      <c r="S92" s="50"/>
    </row>
    <row r="93" spans="1:24" ht="25.5" x14ac:dyDescent="0.25">
      <c r="A93" s="1195"/>
      <c r="B93" s="18" t="s">
        <v>70</v>
      </c>
      <c r="C93" s="17" t="s">
        <v>17</v>
      </c>
      <c r="D93" s="8">
        <v>0.05</v>
      </c>
      <c r="E93" s="8">
        <v>0.03</v>
      </c>
      <c r="F93" s="18">
        <v>1.4</v>
      </c>
      <c r="G93" s="8">
        <v>1</v>
      </c>
      <c r="H93" s="8">
        <v>0.01</v>
      </c>
      <c r="I93" s="8" t="s">
        <v>47</v>
      </c>
      <c r="J93" s="8">
        <v>0.5</v>
      </c>
      <c r="K93" s="8">
        <v>0.5</v>
      </c>
      <c r="L93" s="8">
        <v>10</v>
      </c>
      <c r="M93" s="8">
        <v>11275</v>
      </c>
      <c r="N93" s="8" t="s">
        <v>16</v>
      </c>
      <c r="O93" s="19" t="s">
        <v>49</v>
      </c>
      <c r="P93" s="8">
        <v>0</v>
      </c>
      <c r="Q93" s="8">
        <f t="shared" si="37"/>
        <v>1.46E-2</v>
      </c>
      <c r="R93" s="8">
        <f t="shared" si="38"/>
        <v>5.9200000000000003E-2</v>
      </c>
    </row>
    <row r="94" spans="1:24" ht="51" x14ac:dyDescent="0.25">
      <c r="A94" s="1195"/>
      <c r="B94" s="18" t="s">
        <v>1049</v>
      </c>
      <c r="C94" s="17" t="s">
        <v>17</v>
      </c>
      <c r="D94" s="8">
        <v>0.05</v>
      </c>
      <c r="E94" s="8">
        <v>0.03</v>
      </c>
      <c r="F94" s="18">
        <v>1.4</v>
      </c>
      <c r="G94" s="8">
        <v>1</v>
      </c>
      <c r="H94" s="8">
        <v>0.01</v>
      </c>
      <c r="I94" s="8" t="s">
        <v>47</v>
      </c>
      <c r="J94" s="8">
        <v>0.5</v>
      </c>
      <c r="K94" s="8">
        <v>0.5</v>
      </c>
      <c r="L94" s="8">
        <v>5</v>
      </c>
      <c r="M94" s="8">
        <f>(7380*0.1*1.97)</f>
        <v>1453.86</v>
      </c>
      <c r="N94" s="8" t="s">
        <v>16</v>
      </c>
      <c r="O94" s="19" t="s">
        <v>49</v>
      </c>
      <c r="P94" s="8">
        <v>0</v>
      </c>
      <c r="Q94" s="8">
        <f>ROUND(((D94*E94*F94*G94*H94*J94*L94*1000000*K94/3600)*(1-P94)),4)</f>
        <v>7.3000000000000001E-3</v>
      </c>
      <c r="R94" s="8">
        <f>ROUND((D94*E94*F94*G94*H94*J94*K94*M94*(1-P94)),4)</f>
        <v>7.6E-3</v>
      </c>
      <c r="S94" s="50"/>
      <c r="T94" s="50"/>
      <c r="U94" s="50"/>
      <c r="V94" s="50"/>
      <c r="W94" s="50"/>
      <c r="X94" s="50"/>
    </row>
    <row r="95" spans="1:24" ht="38.25" x14ac:dyDescent="0.25">
      <c r="A95" s="1218"/>
      <c r="B95" s="18" t="s">
        <v>280</v>
      </c>
      <c r="C95" s="17" t="s">
        <v>17</v>
      </c>
      <c r="D95" s="8">
        <v>0.05</v>
      </c>
      <c r="E95" s="8">
        <v>0.03</v>
      </c>
      <c r="F95" s="18">
        <v>1.4</v>
      </c>
      <c r="G95" s="8">
        <v>1</v>
      </c>
      <c r="H95" s="8">
        <v>0.01</v>
      </c>
      <c r="I95" s="8" t="s">
        <v>47</v>
      </c>
      <c r="J95" s="8">
        <v>0.5</v>
      </c>
      <c r="K95" s="8">
        <v>0.5</v>
      </c>
      <c r="L95" s="8">
        <v>10</v>
      </c>
      <c r="M95" s="8">
        <v>6265</v>
      </c>
      <c r="N95" s="8" t="s">
        <v>16</v>
      </c>
      <c r="O95" s="19" t="s">
        <v>49</v>
      </c>
      <c r="P95" s="8">
        <v>0</v>
      </c>
      <c r="Q95" s="8">
        <f t="shared" ref="Q95:Q96" si="41">ROUND(((D95*E95*F95*G95*H95*J95*L95*1000000*K95/3600)*(1-P95)),4)</f>
        <v>1.46E-2</v>
      </c>
      <c r="R95" s="8">
        <f t="shared" ref="R95:R96" si="42">ROUND((D95*E95*F95*G95*H95*J95*K95*M95*(1-P95)),4)</f>
        <v>3.2899999999999999E-2</v>
      </c>
    </row>
    <row r="96" spans="1:24" ht="51" x14ac:dyDescent="0.25">
      <c r="A96" s="1218"/>
      <c r="B96" s="8" t="s">
        <v>1082</v>
      </c>
      <c r="C96" s="17" t="s">
        <v>1080</v>
      </c>
      <c r="D96" s="8">
        <v>0.05</v>
      </c>
      <c r="E96" s="8">
        <v>0.02</v>
      </c>
      <c r="F96" s="18">
        <v>1.4</v>
      </c>
      <c r="G96" s="8">
        <v>1</v>
      </c>
      <c r="H96" s="8">
        <v>0.01</v>
      </c>
      <c r="I96" s="8" t="s">
        <v>47</v>
      </c>
      <c r="J96" s="8">
        <v>0.5</v>
      </c>
      <c r="K96" s="8">
        <v>0.5</v>
      </c>
      <c r="L96" s="8">
        <v>10</v>
      </c>
      <c r="M96" s="8">
        <v>13689</v>
      </c>
      <c r="N96" s="8" t="s">
        <v>48</v>
      </c>
      <c r="O96" s="19" t="s">
        <v>49</v>
      </c>
      <c r="P96" s="8">
        <v>0</v>
      </c>
      <c r="Q96" s="8">
        <f t="shared" si="41"/>
        <v>9.7000000000000003E-3</v>
      </c>
      <c r="R96" s="8">
        <f t="shared" si="42"/>
        <v>4.7899999999999998E-2</v>
      </c>
    </row>
    <row r="97" spans="1:25" ht="51" x14ac:dyDescent="0.25">
      <c r="A97" s="1218"/>
      <c r="B97" s="18" t="s">
        <v>282</v>
      </c>
      <c r="C97" s="17" t="s">
        <v>17</v>
      </c>
      <c r="D97" s="8">
        <v>0.02</v>
      </c>
      <c r="E97" s="8">
        <v>0.01</v>
      </c>
      <c r="F97" s="18">
        <v>1.4</v>
      </c>
      <c r="G97" s="8">
        <v>1</v>
      </c>
      <c r="H97" s="8">
        <v>0.01</v>
      </c>
      <c r="I97" s="8" t="s">
        <v>47</v>
      </c>
      <c r="J97" s="8">
        <v>0.4</v>
      </c>
      <c r="K97" s="8">
        <v>0.5</v>
      </c>
      <c r="L97" s="8">
        <v>10</v>
      </c>
      <c r="M97" s="8">
        <v>6720</v>
      </c>
      <c r="N97" s="8" t="s">
        <v>16</v>
      </c>
      <c r="O97" s="19" t="s">
        <v>49</v>
      </c>
      <c r="P97" s="8">
        <v>0</v>
      </c>
      <c r="Q97" s="8">
        <f t="shared" ref="Q97" si="43">ROUND(((D97*E97*F97*G97*H97*J97*L97*1000000*K97/3600)*(1-P97)),4)</f>
        <v>1.6000000000000001E-3</v>
      </c>
      <c r="R97" s="8">
        <f t="shared" ref="R97" si="44">ROUND((D97*E97*F97*G97*H97*J97*K97*M97*(1-P97)),4)</f>
        <v>3.8E-3</v>
      </c>
    </row>
    <row r="98" spans="1:25" ht="38.25" x14ac:dyDescent="0.25">
      <c r="A98" s="1218"/>
      <c r="B98" s="18" t="s">
        <v>1050</v>
      </c>
      <c r="C98" s="17" t="s">
        <v>17</v>
      </c>
      <c r="D98" s="8">
        <v>0.05</v>
      </c>
      <c r="E98" s="8">
        <v>0.03</v>
      </c>
      <c r="F98" s="18">
        <v>1.4</v>
      </c>
      <c r="G98" s="8">
        <v>1</v>
      </c>
      <c r="H98" s="8">
        <v>0.01</v>
      </c>
      <c r="I98" s="8" t="s">
        <v>47</v>
      </c>
      <c r="J98" s="8">
        <v>0.5</v>
      </c>
      <c r="K98" s="8">
        <v>0.5</v>
      </c>
      <c r="L98" s="8">
        <v>5</v>
      </c>
      <c r="M98" s="8">
        <f>(1417*0.1*1.97)</f>
        <v>279.14900000000006</v>
      </c>
      <c r="N98" s="8" t="s">
        <v>16</v>
      </c>
      <c r="O98" s="19" t="s">
        <v>49</v>
      </c>
      <c r="P98" s="8">
        <v>0</v>
      </c>
      <c r="Q98" s="8">
        <f>ROUND(((D98*E98*F98*G98*H98*J98*L98*1000000*K98/3600)*(1-P98)),4)</f>
        <v>7.3000000000000001E-3</v>
      </c>
      <c r="R98" s="8">
        <f>ROUND((D98*E98*F98*G98*H98*J98*K98*M98*(1-P98)),4)</f>
        <v>1.5E-3</v>
      </c>
      <c r="S98" s="50"/>
      <c r="T98" s="50"/>
      <c r="U98" s="50"/>
      <c r="V98" s="50"/>
      <c r="W98" s="50"/>
      <c r="X98" s="50"/>
      <c r="Y98" s="9"/>
    </row>
    <row r="99" spans="1:25" ht="66.75" customHeight="1" x14ac:dyDescent="0.25">
      <c r="A99" s="1218"/>
      <c r="B99" s="20" t="s">
        <v>1047</v>
      </c>
      <c r="C99" s="17" t="s">
        <v>17</v>
      </c>
      <c r="D99" s="8">
        <v>0.05</v>
      </c>
      <c r="E99" s="8">
        <v>0.03</v>
      </c>
      <c r="F99" s="18">
        <v>1.4</v>
      </c>
      <c r="G99" s="8">
        <v>1</v>
      </c>
      <c r="H99" s="8">
        <v>0.01</v>
      </c>
      <c r="I99" s="8" t="s">
        <v>47</v>
      </c>
      <c r="J99" s="8">
        <v>0.5</v>
      </c>
      <c r="K99" s="8">
        <v>0.5</v>
      </c>
      <c r="L99" s="8">
        <v>5</v>
      </c>
      <c r="M99" s="8">
        <v>930</v>
      </c>
      <c r="N99" s="8" t="s">
        <v>16</v>
      </c>
      <c r="O99" s="19" t="s">
        <v>49</v>
      </c>
      <c r="P99" s="8">
        <v>0</v>
      </c>
      <c r="Q99" s="8">
        <f t="shared" ref="Q99:Q103" si="45">ROUND(((D99*E99*F99*G99*H99*J99*L99*1000000*K99/3600)*(1-P99)),4)</f>
        <v>7.3000000000000001E-3</v>
      </c>
      <c r="R99" s="8">
        <f t="shared" ref="R99:R102" si="46">ROUND((D99*E99*F99*G99*H99*J99*K99*M99*(1-P99)),4)</f>
        <v>4.8999999999999998E-3</v>
      </c>
      <c r="S99" s="50"/>
      <c r="T99" s="50"/>
      <c r="U99" s="50"/>
      <c r="V99" s="50"/>
      <c r="W99" s="50"/>
      <c r="X99" s="50"/>
      <c r="Y99" s="9"/>
    </row>
    <row r="100" spans="1:25" ht="56.25" customHeight="1" x14ac:dyDescent="0.25">
      <c r="A100" s="1218"/>
      <c r="B100" s="20" t="s">
        <v>1039</v>
      </c>
      <c r="C100" s="17" t="s">
        <v>17</v>
      </c>
      <c r="D100" s="8">
        <v>0.05</v>
      </c>
      <c r="E100" s="8">
        <v>0.03</v>
      </c>
      <c r="F100" s="18">
        <v>1.4</v>
      </c>
      <c r="G100" s="8">
        <v>1</v>
      </c>
      <c r="H100" s="8">
        <v>0.01</v>
      </c>
      <c r="I100" s="8" t="s">
        <v>47</v>
      </c>
      <c r="J100" s="8">
        <v>0.5</v>
      </c>
      <c r="K100" s="8">
        <v>0.5</v>
      </c>
      <c r="L100" s="8">
        <v>5</v>
      </c>
      <c r="M100" s="8">
        <v>108</v>
      </c>
      <c r="N100" s="8" t="s">
        <v>16</v>
      </c>
      <c r="O100" s="19" t="s">
        <v>49</v>
      </c>
      <c r="P100" s="8">
        <v>0</v>
      </c>
      <c r="Q100" s="8">
        <f t="shared" si="45"/>
        <v>7.3000000000000001E-3</v>
      </c>
      <c r="R100" s="8">
        <f t="shared" si="46"/>
        <v>5.9999999999999995E-4</v>
      </c>
      <c r="S100" s="50"/>
      <c r="T100" s="50"/>
      <c r="U100" s="50"/>
      <c r="V100" s="50"/>
      <c r="W100" s="50"/>
      <c r="X100" s="50"/>
      <c r="Y100" s="9"/>
    </row>
    <row r="101" spans="1:25" ht="24.95" customHeight="1" x14ac:dyDescent="0.25">
      <c r="A101" s="1218"/>
      <c r="B101" s="20" t="s">
        <v>425</v>
      </c>
      <c r="C101" s="17" t="s">
        <v>202</v>
      </c>
      <c r="D101" s="8">
        <v>0.05</v>
      </c>
      <c r="E101" s="8">
        <v>0.03</v>
      </c>
      <c r="F101" s="18">
        <v>1.4</v>
      </c>
      <c r="G101" s="8">
        <v>1</v>
      </c>
      <c r="H101" s="8">
        <v>0.01</v>
      </c>
      <c r="I101" s="8" t="s">
        <v>47</v>
      </c>
      <c r="J101" s="8">
        <v>0.5</v>
      </c>
      <c r="K101" s="8">
        <v>0.5</v>
      </c>
      <c r="L101" s="8">
        <v>5</v>
      </c>
      <c r="M101" s="8">
        <v>93.3</v>
      </c>
      <c r="N101" s="8" t="s">
        <v>16</v>
      </c>
      <c r="O101" s="19" t="s">
        <v>49</v>
      </c>
      <c r="P101" s="8">
        <v>0</v>
      </c>
      <c r="Q101" s="8">
        <f t="shared" si="45"/>
        <v>7.3000000000000001E-3</v>
      </c>
      <c r="R101" s="8">
        <f t="shared" si="46"/>
        <v>5.0000000000000001E-4</v>
      </c>
      <c r="S101" s="50"/>
      <c r="T101" s="50"/>
      <c r="U101" s="50"/>
      <c r="V101" s="50"/>
      <c r="W101" s="50"/>
      <c r="X101" s="50"/>
      <c r="Y101" s="9"/>
    </row>
    <row r="102" spans="1:25" ht="25.5" x14ac:dyDescent="0.25">
      <c r="A102" s="1218"/>
      <c r="B102" s="20" t="s">
        <v>249</v>
      </c>
      <c r="C102" s="17" t="s">
        <v>17</v>
      </c>
      <c r="D102" s="8">
        <v>0.05</v>
      </c>
      <c r="E102" s="8">
        <v>0.03</v>
      </c>
      <c r="F102" s="18">
        <v>1.4</v>
      </c>
      <c r="G102" s="8">
        <v>1</v>
      </c>
      <c r="H102" s="8">
        <v>0.01</v>
      </c>
      <c r="I102" s="8" t="s">
        <v>47</v>
      </c>
      <c r="J102" s="8">
        <v>0.5</v>
      </c>
      <c r="K102" s="8">
        <v>0.5</v>
      </c>
      <c r="L102" s="8">
        <v>5</v>
      </c>
      <c r="M102" s="8">
        <v>10</v>
      </c>
      <c r="N102" s="8" t="s">
        <v>16</v>
      </c>
      <c r="O102" s="19" t="s">
        <v>49</v>
      </c>
      <c r="P102" s="8">
        <v>0</v>
      </c>
      <c r="Q102" s="8">
        <f t="shared" si="45"/>
        <v>7.3000000000000001E-3</v>
      </c>
      <c r="R102" s="8">
        <f t="shared" si="46"/>
        <v>1E-4</v>
      </c>
      <c r="S102" s="50"/>
      <c r="T102" s="50"/>
      <c r="U102" s="50"/>
      <c r="V102" s="50"/>
      <c r="W102" s="50"/>
      <c r="X102" s="50"/>
      <c r="Y102" s="9"/>
    </row>
    <row r="103" spans="1:25" ht="51" x14ac:dyDescent="0.25">
      <c r="A103" s="1218"/>
      <c r="B103" s="20" t="s">
        <v>250</v>
      </c>
      <c r="C103" s="17" t="s">
        <v>251</v>
      </c>
      <c r="D103" s="8">
        <v>0.04</v>
      </c>
      <c r="E103" s="8">
        <v>0.02</v>
      </c>
      <c r="F103" s="18">
        <v>1.4</v>
      </c>
      <c r="G103" s="8">
        <v>1</v>
      </c>
      <c r="H103" s="8">
        <v>0.01</v>
      </c>
      <c r="I103" s="8" t="s">
        <v>47</v>
      </c>
      <c r="J103" s="8">
        <v>0.5</v>
      </c>
      <c r="K103" s="8">
        <v>0.5</v>
      </c>
      <c r="L103" s="8">
        <v>5</v>
      </c>
      <c r="M103" s="8">
        <v>417</v>
      </c>
      <c r="N103" s="8" t="s">
        <v>16</v>
      </c>
      <c r="O103" s="19" t="s">
        <v>49</v>
      </c>
      <c r="P103" s="8">
        <v>0.8</v>
      </c>
      <c r="Q103" s="8">
        <f t="shared" si="45"/>
        <v>8.0000000000000004E-4</v>
      </c>
      <c r="R103" s="8">
        <f>ROUND((D103*E103*F103*G103*H103*J103*K103*M103*(1-P103)),4)</f>
        <v>2.0000000000000001E-4</v>
      </c>
      <c r="S103" s="50"/>
      <c r="T103" s="50"/>
      <c r="U103" s="50"/>
      <c r="V103" s="50"/>
      <c r="W103" s="50"/>
      <c r="X103" s="50"/>
      <c r="Y103" s="9"/>
    </row>
    <row r="104" spans="1:25" ht="25.5" x14ac:dyDescent="0.25">
      <c r="A104" s="1221"/>
      <c r="B104" s="20" t="s">
        <v>304</v>
      </c>
      <c r="C104" s="17" t="s">
        <v>235</v>
      </c>
      <c r="D104" s="8">
        <v>0.02</v>
      </c>
      <c r="E104" s="8">
        <v>0.01</v>
      </c>
      <c r="F104" s="18">
        <v>1.4</v>
      </c>
      <c r="G104" s="8">
        <v>1</v>
      </c>
      <c r="H104" s="8">
        <v>0.01</v>
      </c>
      <c r="I104" s="8" t="s">
        <v>47</v>
      </c>
      <c r="J104" s="8">
        <v>0.5</v>
      </c>
      <c r="K104" s="8">
        <v>0.5</v>
      </c>
      <c r="L104" s="8">
        <v>5</v>
      </c>
      <c r="M104" s="8">
        <v>185</v>
      </c>
      <c r="N104" s="8" t="s">
        <v>16</v>
      </c>
      <c r="O104" s="19" t="s">
        <v>49</v>
      </c>
      <c r="P104" s="8">
        <v>0.8</v>
      </c>
      <c r="Q104" s="8">
        <f t="shared" ref="Q104" si="47">ROUND(((D104*E104*F104*G104*H104*J104*L104*1000000*K104/3600)*(1-P104)),4)</f>
        <v>2.0000000000000001E-4</v>
      </c>
      <c r="R104" s="8">
        <f>ROUND((D104*E104*F104*G104*H104*J104*K104*M104*(1-P104)),5)</f>
        <v>3.0000000000000001E-5</v>
      </c>
      <c r="S104" s="50"/>
      <c r="T104" s="50"/>
      <c r="U104" s="50"/>
      <c r="V104" s="50"/>
      <c r="W104" s="50"/>
      <c r="X104" s="50"/>
      <c r="Y104" s="9"/>
    </row>
    <row r="105" spans="1:25" x14ac:dyDescent="0.25">
      <c r="A105" s="1206" t="s">
        <v>72</v>
      </c>
      <c r="B105" s="1207"/>
      <c r="C105" s="1207"/>
      <c r="D105" s="1207"/>
      <c r="E105" s="1207"/>
      <c r="F105" s="1207"/>
      <c r="G105" s="1207"/>
      <c r="H105" s="1207"/>
      <c r="I105" s="1207"/>
      <c r="J105" s="1207"/>
      <c r="K105" s="1207"/>
      <c r="L105" s="1207"/>
      <c r="M105" s="1207"/>
      <c r="N105" s="1207"/>
      <c r="O105" s="1207"/>
      <c r="P105" s="1207"/>
      <c r="Q105" s="1207"/>
      <c r="R105" s="1208"/>
    </row>
    <row r="106" spans="1:25" s="148" customFormat="1" ht="25.5" x14ac:dyDescent="0.25">
      <c r="A106" s="1136" t="s">
        <v>481</v>
      </c>
      <c r="B106" s="1137"/>
      <c r="C106" s="1137"/>
      <c r="D106" s="1137"/>
      <c r="E106" s="1137"/>
      <c r="F106" s="1137"/>
      <c r="G106" s="1137"/>
      <c r="H106" s="1137"/>
      <c r="I106" s="1137"/>
      <c r="J106" s="1137"/>
      <c r="K106" s="1137"/>
      <c r="L106" s="1137"/>
      <c r="M106" s="1138"/>
      <c r="N106" s="194" t="s">
        <v>16</v>
      </c>
      <c r="O106" s="225" t="s">
        <v>49</v>
      </c>
      <c r="P106" s="8"/>
      <c r="Q106" s="194">
        <f>MAX(Q91,Q93,Q92,Q95,Q96,Q94,Q97,Q98,Q99,Q100,Q102,Q103,Q104,Q101)</f>
        <v>4.3799999999999999E-2</v>
      </c>
      <c r="R106" s="194">
        <f>R91+R93+R92+R95+R94+R97+R98+R99+R100+R102+R103+R101+R104+R96</f>
        <v>0.55242999999999998</v>
      </c>
      <c r="S106" s="150"/>
      <c r="T106" s="150"/>
      <c r="U106" s="150"/>
      <c r="V106" s="150"/>
      <c r="W106" s="150"/>
    </row>
    <row r="107" spans="1:25" x14ac:dyDescent="0.25">
      <c r="A107" s="1171" t="s">
        <v>284</v>
      </c>
      <c r="B107" s="1210"/>
      <c r="C107" s="1210"/>
      <c r="D107" s="1210"/>
      <c r="E107" s="1210"/>
      <c r="F107" s="1210"/>
      <c r="G107" s="1210"/>
      <c r="H107" s="1210"/>
      <c r="I107" s="1210"/>
      <c r="J107" s="1210"/>
      <c r="K107" s="1210"/>
      <c r="L107" s="1210"/>
      <c r="M107" s="1210"/>
      <c r="N107" s="1210"/>
      <c r="O107" s="1210"/>
      <c r="P107" s="1210"/>
      <c r="Q107" s="1210"/>
      <c r="R107" s="1211"/>
    </row>
    <row r="108" spans="1:25" ht="25.5" x14ac:dyDescent="0.25">
      <c r="A108" s="1209">
        <v>708903</v>
      </c>
      <c r="B108" s="20" t="s">
        <v>289</v>
      </c>
      <c r="C108" s="17" t="s">
        <v>17</v>
      </c>
      <c r="D108" s="8">
        <v>0.05</v>
      </c>
      <c r="E108" s="8">
        <v>0.03</v>
      </c>
      <c r="F108" s="18">
        <v>1.4</v>
      </c>
      <c r="G108" s="8">
        <v>1</v>
      </c>
      <c r="H108" s="8">
        <v>0.01</v>
      </c>
      <c r="I108" s="8" t="s">
        <v>47</v>
      </c>
      <c r="J108" s="8">
        <v>0.5</v>
      </c>
      <c r="K108" s="8">
        <v>0.5</v>
      </c>
      <c r="L108" s="8">
        <v>5</v>
      </c>
      <c r="M108" s="8">
        <v>2967</v>
      </c>
      <c r="N108" s="8" t="s">
        <v>16</v>
      </c>
      <c r="O108" s="19" t="s">
        <v>49</v>
      </c>
      <c r="P108" s="8">
        <v>0</v>
      </c>
      <c r="Q108" s="8">
        <f t="shared" ref="Q108:Q116" si="48">ROUND(((D108*E108*F108*G108*H108*J108*L108*1000000*K108/3600)*(1-P108)),4)</f>
        <v>7.3000000000000001E-3</v>
      </c>
      <c r="R108" s="8">
        <f t="shared" ref="R108" si="49">ROUND((D108*E108*F108*G108*H108*J108*K108*M108*(1-P108)),4)</f>
        <v>1.5599999999999999E-2</v>
      </c>
    </row>
    <row r="109" spans="1:25" ht="38.25" x14ac:dyDescent="0.25">
      <c r="A109" s="1218"/>
      <c r="B109" s="20" t="s">
        <v>50</v>
      </c>
      <c r="C109" s="17" t="s">
        <v>285</v>
      </c>
      <c r="D109" s="8">
        <v>0.02</v>
      </c>
      <c r="E109" s="8">
        <v>0.01</v>
      </c>
      <c r="F109" s="18">
        <v>1.4</v>
      </c>
      <c r="G109" s="8">
        <v>1</v>
      </c>
      <c r="H109" s="8">
        <v>0.01</v>
      </c>
      <c r="I109" s="8" t="s">
        <v>47</v>
      </c>
      <c r="J109" s="8">
        <v>0.5</v>
      </c>
      <c r="K109" s="8">
        <v>0.5</v>
      </c>
      <c r="L109" s="8">
        <v>5</v>
      </c>
      <c r="M109" s="8">
        <v>1368</v>
      </c>
      <c r="N109" s="8" t="s">
        <v>16</v>
      </c>
      <c r="O109" s="19" t="s">
        <v>49</v>
      </c>
      <c r="P109" s="8">
        <v>0.8</v>
      </c>
      <c r="Q109" s="8">
        <f t="shared" si="48"/>
        <v>2.0000000000000001E-4</v>
      </c>
      <c r="R109" s="8">
        <f>ROUND((D109*E109*F109*G109*H109*J109*K109*M109*(1-P109)),4)</f>
        <v>2.0000000000000001E-4</v>
      </c>
    </row>
    <row r="110" spans="1:25" ht="25.5" x14ac:dyDescent="0.25">
      <c r="A110" s="1218"/>
      <c r="B110" s="18" t="s">
        <v>70</v>
      </c>
      <c r="C110" s="17" t="s">
        <v>202</v>
      </c>
      <c r="D110" s="8">
        <v>0.05</v>
      </c>
      <c r="E110" s="8">
        <v>0.03</v>
      </c>
      <c r="F110" s="18">
        <v>1.4</v>
      </c>
      <c r="G110" s="8">
        <v>1</v>
      </c>
      <c r="H110" s="8">
        <v>0.01</v>
      </c>
      <c r="I110" s="8" t="s">
        <v>47</v>
      </c>
      <c r="J110" s="8">
        <v>0.5</v>
      </c>
      <c r="K110" s="8">
        <v>0.5</v>
      </c>
      <c r="L110" s="8">
        <v>2</v>
      </c>
      <c r="M110" s="8">
        <v>38</v>
      </c>
      <c r="N110" s="8" t="s">
        <v>16</v>
      </c>
      <c r="O110" s="19" t="s">
        <v>49</v>
      </c>
      <c r="P110" s="8">
        <v>0</v>
      </c>
      <c r="Q110" s="8">
        <f t="shared" si="48"/>
        <v>2.8999999999999998E-3</v>
      </c>
      <c r="R110" s="8">
        <f t="shared" ref="R110:R116" si="50">ROUND((D110*E110*F110*G110*H110*J110*K110*M110*(1-P110)),4)</f>
        <v>2.0000000000000001E-4</v>
      </c>
      <c r="S110" s="50"/>
    </row>
    <row r="111" spans="1:25" ht="63.75" x14ac:dyDescent="0.25">
      <c r="A111" s="1218"/>
      <c r="B111" s="20" t="s">
        <v>1051</v>
      </c>
      <c r="C111" s="17" t="s">
        <v>17</v>
      </c>
      <c r="D111" s="8">
        <v>0.05</v>
      </c>
      <c r="E111" s="8">
        <v>0.03</v>
      </c>
      <c r="F111" s="18">
        <v>1.4</v>
      </c>
      <c r="G111" s="8">
        <v>1</v>
      </c>
      <c r="H111" s="8">
        <v>0.01</v>
      </c>
      <c r="I111" s="8" t="s">
        <v>47</v>
      </c>
      <c r="J111" s="8">
        <v>0.5</v>
      </c>
      <c r="K111" s="8">
        <v>0.5</v>
      </c>
      <c r="L111" s="8">
        <v>4</v>
      </c>
      <c r="M111" s="8">
        <f>(2732*0.1*1.97)</f>
        <v>538.20399999999995</v>
      </c>
      <c r="N111" s="8" t="s">
        <v>16</v>
      </c>
      <c r="O111" s="19" t="s">
        <v>49</v>
      </c>
      <c r="P111" s="8">
        <v>0</v>
      </c>
      <c r="Q111" s="8">
        <f>ROUND(((D111*E111*F111*G111*H111*J111*L111*1000000*K111/3600)*(1-P111)),4)</f>
        <v>5.7999999999999996E-3</v>
      </c>
      <c r="R111" s="8">
        <f>ROUND((D111*E111*F111*G111*H111*J111*K111*M111*(1-P111)),4)</f>
        <v>2.8E-3</v>
      </c>
      <c r="S111" s="49"/>
      <c r="T111" s="50"/>
      <c r="U111" s="50"/>
      <c r="V111" s="50"/>
    </row>
    <row r="112" spans="1:25" ht="63.75" x14ac:dyDescent="0.25">
      <c r="A112" s="1218"/>
      <c r="B112" s="20" t="s">
        <v>1047</v>
      </c>
      <c r="C112" s="17" t="s">
        <v>17</v>
      </c>
      <c r="D112" s="8">
        <v>0.05</v>
      </c>
      <c r="E112" s="8">
        <v>0.03</v>
      </c>
      <c r="F112" s="18">
        <v>1.4</v>
      </c>
      <c r="G112" s="8">
        <v>1</v>
      </c>
      <c r="H112" s="8">
        <v>0.01</v>
      </c>
      <c r="I112" s="8" t="s">
        <v>47</v>
      </c>
      <c r="J112" s="8">
        <v>0.5</v>
      </c>
      <c r="K112" s="8">
        <v>0.5</v>
      </c>
      <c r="L112" s="8">
        <v>2</v>
      </c>
      <c r="M112" s="8">
        <v>556</v>
      </c>
      <c r="N112" s="8" t="s">
        <v>16</v>
      </c>
      <c r="O112" s="19" t="s">
        <v>49</v>
      </c>
      <c r="P112" s="8">
        <v>0</v>
      </c>
      <c r="Q112" s="8">
        <f t="shared" si="48"/>
        <v>2.8999999999999998E-3</v>
      </c>
      <c r="R112" s="8">
        <f t="shared" si="50"/>
        <v>2.8999999999999998E-3</v>
      </c>
    </row>
    <row r="113" spans="1:23" ht="25.5" x14ac:dyDescent="0.25">
      <c r="A113" s="1218"/>
      <c r="B113" s="20" t="s">
        <v>1052</v>
      </c>
      <c r="C113" s="17" t="s">
        <v>17</v>
      </c>
      <c r="D113" s="8">
        <v>0.05</v>
      </c>
      <c r="E113" s="8">
        <v>0.03</v>
      </c>
      <c r="F113" s="18">
        <v>1.4</v>
      </c>
      <c r="G113" s="8">
        <v>1</v>
      </c>
      <c r="H113" s="8">
        <v>0.01</v>
      </c>
      <c r="I113" s="8" t="s">
        <v>47</v>
      </c>
      <c r="J113" s="8">
        <v>0.5</v>
      </c>
      <c r="K113" s="8">
        <v>0.5</v>
      </c>
      <c r="L113" s="8">
        <v>5</v>
      </c>
      <c r="M113" s="8">
        <v>43</v>
      </c>
      <c r="N113" s="8" t="s">
        <v>16</v>
      </c>
      <c r="O113" s="19" t="s">
        <v>49</v>
      </c>
      <c r="P113" s="8">
        <v>0</v>
      </c>
      <c r="Q113" s="8">
        <f t="shared" si="48"/>
        <v>7.3000000000000001E-3</v>
      </c>
      <c r="R113" s="8">
        <f t="shared" si="50"/>
        <v>2.0000000000000001E-4</v>
      </c>
    </row>
    <row r="114" spans="1:23" ht="25.5" x14ac:dyDescent="0.25">
      <c r="A114" s="1218"/>
      <c r="B114" s="20" t="s">
        <v>425</v>
      </c>
      <c r="C114" s="17" t="s">
        <v>202</v>
      </c>
      <c r="D114" s="8">
        <v>0.05</v>
      </c>
      <c r="E114" s="8">
        <v>0.03</v>
      </c>
      <c r="F114" s="18">
        <v>1.4</v>
      </c>
      <c r="G114" s="8">
        <v>1</v>
      </c>
      <c r="H114" s="8">
        <v>0.01</v>
      </c>
      <c r="I114" s="8" t="s">
        <v>47</v>
      </c>
      <c r="J114" s="8">
        <v>0.5</v>
      </c>
      <c r="K114" s="8">
        <v>0.5</v>
      </c>
      <c r="L114" s="8">
        <v>5</v>
      </c>
      <c r="M114" s="8">
        <v>176</v>
      </c>
      <c r="N114" s="8" t="s">
        <v>16</v>
      </c>
      <c r="O114" s="19" t="s">
        <v>49</v>
      </c>
      <c r="P114" s="8">
        <v>0</v>
      </c>
      <c r="Q114" s="8">
        <f t="shared" si="48"/>
        <v>7.3000000000000001E-3</v>
      </c>
      <c r="R114" s="8">
        <f t="shared" si="50"/>
        <v>8.9999999999999998E-4</v>
      </c>
    </row>
    <row r="115" spans="1:23" ht="51" x14ac:dyDescent="0.25">
      <c r="A115" s="1218"/>
      <c r="B115" s="20" t="s">
        <v>1039</v>
      </c>
      <c r="C115" s="17" t="s">
        <v>17</v>
      </c>
      <c r="D115" s="8">
        <v>0.05</v>
      </c>
      <c r="E115" s="8">
        <v>0.03</v>
      </c>
      <c r="F115" s="18">
        <v>1.4</v>
      </c>
      <c r="G115" s="8">
        <v>1</v>
      </c>
      <c r="H115" s="8">
        <v>0.01</v>
      </c>
      <c r="I115" s="8" t="s">
        <v>47</v>
      </c>
      <c r="J115" s="8">
        <v>0.5</v>
      </c>
      <c r="K115" s="8">
        <v>0.5</v>
      </c>
      <c r="L115" s="8">
        <v>5</v>
      </c>
      <c r="M115" s="8">
        <v>1286</v>
      </c>
      <c r="N115" s="8" t="s">
        <v>16</v>
      </c>
      <c r="O115" s="19" t="s">
        <v>49</v>
      </c>
      <c r="P115" s="8">
        <v>0</v>
      </c>
      <c r="Q115" s="8">
        <f t="shared" ref="Q115" si="51">ROUND(((D115*E115*F115*G115*H115*J115*L115*1000000*K115/3600)*(1-P115)),4)</f>
        <v>7.3000000000000001E-3</v>
      </c>
      <c r="R115" s="8">
        <f t="shared" ref="R115" si="52">ROUND((D115*E115*F115*G115*H115*J115*K115*M115*(1-P115)),4)</f>
        <v>6.7999999999999996E-3</v>
      </c>
    </row>
    <row r="116" spans="1:23" ht="25.5" x14ac:dyDescent="0.25">
      <c r="A116" s="1219"/>
      <c r="B116" s="20" t="s">
        <v>249</v>
      </c>
      <c r="C116" s="17" t="s">
        <v>17</v>
      </c>
      <c r="D116" s="8">
        <v>0.05</v>
      </c>
      <c r="E116" s="8">
        <v>0.03</v>
      </c>
      <c r="F116" s="18">
        <v>1.4</v>
      </c>
      <c r="G116" s="8">
        <v>1</v>
      </c>
      <c r="H116" s="8">
        <v>0.01</v>
      </c>
      <c r="I116" s="8" t="s">
        <v>47</v>
      </c>
      <c r="J116" s="8">
        <v>0.5</v>
      </c>
      <c r="K116" s="8">
        <v>0.5</v>
      </c>
      <c r="L116" s="8">
        <v>5</v>
      </c>
      <c r="M116" s="8">
        <v>567</v>
      </c>
      <c r="N116" s="8" t="s">
        <v>16</v>
      </c>
      <c r="O116" s="19" t="s">
        <v>49</v>
      </c>
      <c r="P116" s="8">
        <v>0</v>
      </c>
      <c r="Q116" s="8">
        <f t="shared" si="48"/>
        <v>7.3000000000000001E-3</v>
      </c>
      <c r="R116" s="8">
        <f t="shared" si="50"/>
        <v>3.0000000000000001E-3</v>
      </c>
    </row>
    <row r="117" spans="1:23" x14ac:dyDescent="0.25">
      <c r="A117" s="1206" t="s">
        <v>72</v>
      </c>
      <c r="B117" s="1207"/>
      <c r="C117" s="1207"/>
      <c r="D117" s="1207"/>
      <c r="E117" s="1207"/>
      <c r="F117" s="1207"/>
      <c r="G117" s="1207"/>
      <c r="H117" s="1207"/>
      <c r="I117" s="1207"/>
      <c r="J117" s="1207"/>
      <c r="K117" s="1207"/>
      <c r="L117" s="1207"/>
      <c r="M117" s="1207"/>
      <c r="N117" s="1207"/>
      <c r="O117" s="1207"/>
      <c r="P117" s="1207"/>
      <c r="Q117" s="1207"/>
      <c r="R117" s="1208"/>
    </row>
    <row r="118" spans="1:23" s="148" customFormat="1" ht="25.5" x14ac:dyDescent="0.25">
      <c r="A118" s="1136" t="s">
        <v>492</v>
      </c>
      <c r="B118" s="1137"/>
      <c r="C118" s="1137"/>
      <c r="D118" s="1137"/>
      <c r="E118" s="1137"/>
      <c r="F118" s="1137"/>
      <c r="G118" s="1137"/>
      <c r="H118" s="1137"/>
      <c r="I118" s="1137"/>
      <c r="J118" s="1137"/>
      <c r="K118" s="1137"/>
      <c r="L118" s="1137"/>
      <c r="M118" s="1138"/>
      <c r="N118" s="194" t="s">
        <v>16</v>
      </c>
      <c r="O118" s="225" t="s">
        <v>49</v>
      </c>
      <c r="P118" s="8"/>
      <c r="Q118" s="194">
        <f>MAX(Q108,Q109,Q110,Q111,Q112,Q113,Q116,Q114,Q115)</f>
        <v>7.3000000000000001E-3</v>
      </c>
      <c r="R118" s="194">
        <f>R108+R109+R110+R111+R112+R113+R116+R114+R115</f>
        <v>3.2599999999999997E-2</v>
      </c>
      <c r="S118" s="150"/>
      <c r="T118" s="150"/>
      <c r="U118" s="150"/>
      <c r="V118" s="150"/>
      <c r="W118" s="150"/>
    </row>
    <row r="119" spans="1:23" x14ac:dyDescent="0.25">
      <c r="A119" s="1178" t="s">
        <v>286</v>
      </c>
      <c r="B119" s="1235"/>
      <c r="C119" s="1235"/>
      <c r="D119" s="1235"/>
      <c r="E119" s="1235"/>
      <c r="F119" s="1235"/>
      <c r="G119" s="1235"/>
      <c r="H119" s="1235"/>
      <c r="I119" s="1235"/>
      <c r="J119" s="1235"/>
      <c r="K119" s="1235"/>
      <c r="L119" s="1235"/>
      <c r="M119" s="1235"/>
      <c r="N119" s="1235"/>
      <c r="O119" s="1235"/>
      <c r="P119" s="1235"/>
      <c r="Q119" s="1235"/>
      <c r="R119" s="1236"/>
    </row>
    <row r="120" spans="1:23" ht="25.5" x14ac:dyDescent="0.25">
      <c r="A120" s="1209">
        <v>709602</v>
      </c>
      <c r="B120" s="20" t="s">
        <v>69</v>
      </c>
      <c r="C120" s="17" t="s">
        <v>17</v>
      </c>
      <c r="D120" s="8">
        <v>0.05</v>
      </c>
      <c r="E120" s="8">
        <v>0.03</v>
      </c>
      <c r="F120" s="18">
        <v>1.4</v>
      </c>
      <c r="G120" s="8">
        <v>1</v>
      </c>
      <c r="H120" s="8">
        <v>0.01</v>
      </c>
      <c r="I120" s="8" t="s">
        <v>47</v>
      </c>
      <c r="J120" s="8">
        <v>0.5</v>
      </c>
      <c r="K120" s="8">
        <v>0.5</v>
      </c>
      <c r="L120" s="8">
        <v>5</v>
      </c>
      <c r="M120" s="8">
        <v>1971</v>
      </c>
      <c r="N120" s="8" t="s">
        <v>16</v>
      </c>
      <c r="O120" s="19" t="s">
        <v>49</v>
      </c>
      <c r="P120" s="8">
        <v>0</v>
      </c>
      <c r="Q120" s="8">
        <f t="shared" ref="Q120:Q121" si="53">ROUND(((D120*E120*F120*G120*H120*J120*L120*1000000*K120/3600)*(1-P120)),4)</f>
        <v>7.3000000000000001E-3</v>
      </c>
      <c r="R120" s="8">
        <f t="shared" ref="R120:R121" si="54">ROUND((D120*E120*F120*G120*H120*J120*K120*M120*(1-P120)),4)</f>
        <v>1.03E-2</v>
      </c>
      <c r="S120" s="50"/>
    </row>
    <row r="121" spans="1:23" ht="25.5" x14ac:dyDescent="0.25">
      <c r="A121" s="1218"/>
      <c r="B121" s="18" t="s">
        <v>70</v>
      </c>
      <c r="C121" s="17" t="s">
        <v>287</v>
      </c>
      <c r="D121" s="8">
        <v>0.05</v>
      </c>
      <c r="E121" s="8">
        <v>0.03</v>
      </c>
      <c r="F121" s="18">
        <v>1.4</v>
      </c>
      <c r="G121" s="8">
        <v>1</v>
      </c>
      <c r="H121" s="8">
        <v>0.01</v>
      </c>
      <c r="I121" s="8" t="s">
        <v>47</v>
      </c>
      <c r="J121" s="8">
        <v>0.5</v>
      </c>
      <c r="K121" s="8">
        <v>0.5</v>
      </c>
      <c r="L121" s="8">
        <v>5</v>
      </c>
      <c r="M121" s="8">
        <v>1202</v>
      </c>
      <c r="N121" s="8" t="s">
        <v>16</v>
      </c>
      <c r="O121" s="19" t="s">
        <v>49</v>
      </c>
      <c r="P121" s="8">
        <v>0</v>
      </c>
      <c r="Q121" s="8">
        <f t="shared" si="53"/>
        <v>7.3000000000000001E-3</v>
      </c>
      <c r="R121" s="8">
        <f t="shared" si="54"/>
        <v>6.3E-3</v>
      </c>
    </row>
    <row r="122" spans="1:23" ht="25.5" x14ac:dyDescent="0.25">
      <c r="A122" s="1219"/>
      <c r="B122" s="20" t="s">
        <v>243</v>
      </c>
      <c r="C122" s="17" t="s">
        <v>17</v>
      </c>
      <c r="D122" s="8">
        <v>0.05</v>
      </c>
      <c r="E122" s="8">
        <v>0.03</v>
      </c>
      <c r="F122" s="18">
        <v>1.4</v>
      </c>
      <c r="G122" s="8">
        <v>1</v>
      </c>
      <c r="H122" s="8">
        <v>0.01</v>
      </c>
      <c r="I122" s="8" t="s">
        <v>47</v>
      </c>
      <c r="J122" s="8">
        <v>0.5</v>
      </c>
      <c r="K122" s="8">
        <v>0.5</v>
      </c>
      <c r="L122" s="8">
        <v>2</v>
      </c>
      <c r="M122" s="8">
        <v>47</v>
      </c>
      <c r="N122" s="8" t="s">
        <v>16</v>
      </c>
      <c r="O122" s="19" t="s">
        <v>49</v>
      </c>
      <c r="P122" s="8">
        <v>0</v>
      </c>
      <c r="Q122" s="8">
        <f t="shared" ref="Q122" si="55">ROUND(((D122*E122*F122*G122*H122*J122*L122*1000000*K122/3600)*(1-P122)),4)</f>
        <v>2.8999999999999998E-3</v>
      </c>
      <c r="R122" s="8">
        <f t="shared" ref="R122" si="56">ROUND((D122*E122*F122*G122*H122*J122*K122*M122*(1-P122)),4)</f>
        <v>2.0000000000000001E-4</v>
      </c>
    </row>
    <row r="123" spans="1:23" x14ac:dyDescent="0.25">
      <c r="A123" s="1206" t="s">
        <v>72</v>
      </c>
      <c r="B123" s="1207"/>
      <c r="C123" s="1207"/>
      <c r="D123" s="1207"/>
      <c r="E123" s="1207"/>
      <c r="F123" s="1207"/>
      <c r="G123" s="1207"/>
      <c r="H123" s="1207"/>
      <c r="I123" s="1207"/>
      <c r="J123" s="1207"/>
      <c r="K123" s="1207"/>
      <c r="L123" s="1207"/>
      <c r="M123" s="1207"/>
      <c r="N123" s="1207"/>
      <c r="O123" s="1207"/>
      <c r="P123" s="1207"/>
      <c r="Q123" s="1207"/>
      <c r="R123" s="1208"/>
    </row>
    <row r="124" spans="1:23" s="148" customFormat="1" ht="25.5" x14ac:dyDescent="0.25">
      <c r="A124" s="1136" t="s">
        <v>499</v>
      </c>
      <c r="B124" s="1137"/>
      <c r="C124" s="1137"/>
      <c r="D124" s="1137"/>
      <c r="E124" s="1137"/>
      <c r="F124" s="1137"/>
      <c r="G124" s="1137"/>
      <c r="H124" s="1137"/>
      <c r="I124" s="1137"/>
      <c r="J124" s="1137"/>
      <c r="K124" s="1137"/>
      <c r="L124" s="1137"/>
      <c r="M124" s="1138"/>
      <c r="N124" s="194" t="s">
        <v>16</v>
      </c>
      <c r="O124" s="225" t="s">
        <v>49</v>
      </c>
      <c r="P124" s="8"/>
      <c r="Q124" s="194">
        <f>MAX(Q120,Q121,Q122)</f>
        <v>7.3000000000000001E-3</v>
      </c>
      <c r="R124" s="194">
        <f>R120+R121+R122</f>
        <v>1.6799999999999999E-2</v>
      </c>
      <c r="S124" s="849"/>
      <c r="T124" s="849"/>
      <c r="U124" s="849"/>
      <c r="V124" s="150"/>
      <c r="W124" s="150"/>
    </row>
    <row r="125" spans="1:23" s="148" customFormat="1" x14ac:dyDescent="0.25">
      <c r="A125" s="1222" t="s">
        <v>1063</v>
      </c>
      <c r="B125" s="1223"/>
      <c r="C125" s="1223"/>
      <c r="D125" s="1223"/>
      <c r="E125" s="1223"/>
      <c r="F125" s="1223"/>
      <c r="G125" s="1223"/>
      <c r="H125" s="1223"/>
      <c r="I125" s="1223"/>
      <c r="J125" s="1223"/>
      <c r="K125" s="1223"/>
      <c r="L125" s="1223"/>
      <c r="M125" s="1223"/>
      <c r="N125" s="1223"/>
      <c r="O125" s="1223"/>
      <c r="P125" s="1223"/>
      <c r="Q125" s="1223"/>
      <c r="R125" s="1224"/>
      <c r="S125" s="864"/>
      <c r="T125" s="864"/>
      <c r="U125" s="864"/>
      <c r="V125" s="150"/>
      <c r="W125" s="150"/>
    </row>
    <row r="126" spans="1:23" s="148" customFormat="1" ht="63.75" x14ac:dyDescent="0.25">
      <c r="A126" s="1225">
        <v>712103</v>
      </c>
      <c r="B126" s="20" t="s">
        <v>1033</v>
      </c>
      <c r="C126" s="17" t="s">
        <v>17</v>
      </c>
      <c r="D126" s="8">
        <v>0.05</v>
      </c>
      <c r="E126" s="8">
        <v>0.03</v>
      </c>
      <c r="F126" s="18">
        <v>1.4</v>
      </c>
      <c r="G126" s="8">
        <v>1</v>
      </c>
      <c r="H126" s="8">
        <v>0.01</v>
      </c>
      <c r="I126" s="8" t="s">
        <v>47</v>
      </c>
      <c r="J126" s="8">
        <v>0.5</v>
      </c>
      <c r="K126" s="8">
        <v>0.5</v>
      </c>
      <c r="L126" s="8">
        <v>5</v>
      </c>
      <c r="M126" s="8">
        <v>234</v>
      </c>
      <c r="N126" s="8" t="s">
        <v>16</v>
      </c>
      <c r="O126" s="19" t="s">
        <v>49</v>
      </c>
      <c r="P126" s="8">
        <v>0</v>
      </c>
      <c r="Q126" s="8">
        <f t="shared" ref="Q126:Q131" si="57">ROUND(((D126*E126*F126*G126*H126*J126*L126*1000000*K126/3600)*(1-P126)),4)</f>
        <v>7.3000000000000001E-3</v>
      </c>
      <c r="R126" s="8">
        <f t="shared" ref="R126:R129" si="58">ROUND((D126*E126*F126*G126*H126*J126*K126*M126*(1-P126)),4)</f>
        <v>1.1999999999999999E-3</v>
      </c>
      <c r="S126" s="864"/>
      <c r="T126" s="864"/>
      <c r="U126" s="864"/>
      <c r="V126" s="150"/>
      <c r="W126" s="150"/>
    </row>
    <row r="127" spans="1:23" s="148" customFormat="1" ht="63.75" x14ac:dyDescent="0.25">
      <c r="A127" s="1249"/>
      <c r="B127" s="20" t="s">
        <v>1032</v>
      </c>
      <c r="C127" s="17" t="s">
        <v>17</v>
      </c>
      <c r="D127" s="8">
        <v>0.05</v>
      </c>
      <c r="E127" s="8">
        <v>0.03</v>
      </c>
      <c r="F127" s="18">
        <v>1.4</v>
      </c>
      <c r="G127" s="8">
        <v>1</v>
      </c>
      <c r="H127" s="8">
        <v>0.01</v>
      </c>
      <c r="I127" s="8" t="s">
        <v>47</v>
      </c>
      <c r="J127" s="8">
        <v>0.5</v>
      </c>
      <c r="K127" s="8">
        <v>0.5</v>
      </c>
      <c r="L127" s="8">
        <v>10</v>
      </c>
      <c r="M127" s="8">
        <v>2725</v>
      </c>
      <c r="N127" s="8" t="s">
        <v>16</v>
      </c>
      <c r="O127" s="19" t="s">
        <v>49</v>
      </c>
      <c r="P127" s="8">
        <v>0</v>
      </c>
      <c r="Q127" s="8">
        <f t="shared" si="57"/>
        <v>1.46E-2</v>
      </c>
      <c r="R127" s="8">
        <f t="shared" si="58"/>
        <v>1.43E-2</v>
      </c>
      <c r="S127" s="864"/>
      <c r="T127" s="864"/>
      <c r="U127" s="864"/>
      <c r="V127" s="150"/>
      <c r="W127" s="150"/>
    </row>
    <row r="128" spans="1:23" s="148" customFormat="1" ht="25.5" x14ac:dyDescent="0.25">
      <c r="A128" s="1249"/>
      <c r="B128" s="20" t="s">
        <v>425</v>
      </c>
      <c r="C128" s="17" t="s">
        <v>202</v>
      </c>
      <c r="D128" s="8">
        <v>0.05</v>
      </c>
      <c r="E128" s="8">
        <v>0.03</v>
      </c>
      <c r="F128" s="18">
        <v>1.4</v>
      </c>
      <c r="G128" s="8">
        <v>1</v>
      </c>
      <c r="H128" s="8">
        <v>0.01</v>
      </c>
      <c r="I128" s="8" t="s">
        <v>47</v>
      </c>
      <c r="J128" s="8">
        <v>0.5</v>
      </c>
      <c r="K128" s="8">
        <v>0.5</v>
      </c>
      <c r="L128" s="8">
        <v>5</v>
      </c>
      <c r="M128" s="8">
        <v>408</v>
      </c>
      <c r="N128" s="8" t="s">
        <v>16</v>
      </c>
      <c r="O128" s="19" t="s">
        <v>49</v>
      </c>
      <c r="P128" s="8">
        <v>0</v>
      </c>
      <c r="Q128" s="8">
        <f t="shared" si="57"/>
        <v>7.3000000000000001E-3</v>
      </c>
      <c r="R128" s="8">
        <f t="shared" si="58"/>
        <v>2.0999999999999999E-3</v>
      </c>
      <c r="S128" s="864"/>
      <c r="T128" s="864"/>
      <c r="U128" s="864"/>
      <c r="V128" s="150"/>
      <c r="W128" s="150"/>
    </row>
    <row r="129" spans="1:23" s="148" customFormat="1" ht="25.5" x14ac:dyDescent="0.25">
      <c r="A129" s="1249"/>
      <c r="B129" s="20" t="s">
        <v>249</v>
      </c>
      <c r="C129" s="17" t="s">
        <v>17</v>
      </c>
      <c r="D129" s="8">
        <v>0.05</v>
      </c>
      <c r="E129" s="8">
        <v>0.03</v>
      </c>
      <c r="F129" s="18">
        <v>1.4</v>
      </c>
      <c r="G129" s="8">
        <v>1</v>
      </c>
      <c r="H129" s="8">
        <v>0.01</v>
      </c>
      <c r="I129" s="8" t="s">
        <v>47</v>
      </c>
      <c r="J129" s="8">
        <v>0.5</v>
      </c>
      <c r="K129" s="8">
        <v>0.5</v>
      </c>
      <c r="L129" s="8">
        <v>10</v>
      </c>
      <c r="M129" s="8">
        <v>1074</v>
      </c>
      <c r="N129" s="8" t="s">
        <v>16</v>
      </c>
      <c r="O129" s="19" t="s">
        <v>49</v>
      </c>
      <c r="P129" s="8">
        <v>0</v>
      </c>
      <c r="Q129" s="8">
        <f t="shared" si="57"/>
        <v>1.46E-2</v>
      </c>
      <c r="R129" s="8">
        <f t="shared" si="58"/>
        <v>5.5999999999999999E-3</v>
      </c>
      <c r="S129" s="864"/>
      <c r="T129" s="864"/>
      <c r="U129" s="864"/>
      <c r="V129" s="150"/>
      <c r="W129" s="150"/>
    </row>
    <row r="130" spans="1:23" s="148" customFormat="1" ht="38.25" x14ac:dyDescent="0.25">
      <c r="A130" s="1249"/>
      <c r="B130" s="20" t="s">
        <v>1069</v>
      </c>
      <c r="C130" s="17" t="s">
        <v>293</v>
      </c>
      <c r="D130" s="8">
        <v>0.02</v>
      </c>
      <c r="E130" s="8">
        <v>0.01</v>
      </c>
      <c r="F130" s="18">
        <v>1.4</v>
      </c>
      <c r="G130" s="8">
        <v>1</v>
      </c>
      <c r="H130" s="8">
        <v>0.01</v>
      </c>
      <c r="I130" s="8" t="s">
        <v>47</v>
      </c>
      <c r="J130" s="8">
        <v>0.4</v>
      </c>
      <c r="K130" s="8">
        <v>0.5</v>
      </c>
      <c r="L130" s="8">
        <v>10</v>
      </c>
      <c r="M130" s="8">
        <v>5667</v>
      </c>
      <c r="N130" s="8" t="s">
        <v>16</v>
      </c>
      <c r="O130" s="19" t="s">
        <v>49</v>
      </c>
      <c r="P130" s="8">
        <v>0.8</v>
      </c>
      <c r="Q130" s="8">
        <f t="shared" si="57"/>
        <v>2.9999999999999997E-4</v>
      </c>
      <c r="R130" s="8">
        <f>ROUND((D130*E130*F130*G130*H130*J130*K130*M130*(1-P130)),4)</f>
        <v>5.9999999999999995E-4</v>
      </c>
      <c r="S130" s="864"/>
      <c r="T130" s="864"/>
      <c r="U130" s="864"/>
      <c r="V130" s="150"/>
      <c r="W130" s="150"/>
    </row>
    <row r="131" spans="1:23" s="148" customFormat="1" ht="25.5" x14ac:dyDescent="0.25">
      <c r="A131" s="1249"/>
      <c r="B131" s="20" t="s">
        <v>304</v>
      </c>
      <c r="C131" s="17" t="s">
        <v>235</v>
      </c>
      <c r="D131" s="8">
        <v>0.02</v>
      </c>
      <c r="E131" s="8">
        <v>0.01</v>
      </c>
      <c r="F131" s="18">
        <v>1.4</v>
      </c>
      <c r="G131" s="8">
        <v>1</v>
      </c>
      <c r="H131" s="8">
        <v>0.01</v>
      </c>
      <c r="I131" s="8" t="s">
        <v>47</v>
      </c>
      <c r="J131" s="8">
        <v>0.5</v>
      </c>
      <c r="K131" s="8">
        <v>0.5</v>
      </c>
      <c r="L131" s="8">
        <v>5</v>
      </c>
      <c r="M131" s="8">
        <v>767</v>
      </c>
      <c r="N131" s="8" t="s">
        <v>16</v>
      </c>
      <c r="O131" s="19" t="s">
        <v>49</v>
      </c>
      <c r="P131" s="8">
        <v>0.8</v>
      </c>
      <c r="Q131" s="8">
        <f t="shared" si="57"/>
        <v>2.0000000000000001E-4</v>
      </c>
      <c r="R131" s="8">
        <f>ROUND((D131*E131*F131*G131*H131*J131*K131*M131*(1-P131)),5)</f>
        <v>1.1E-4</v>
      </c>
      <c r="S131" s="864"/>
      <c r="T131" s="864"/>
      <c r="U131" s="864"/>
      <c r="V131" s="150"/>
      <c r="W131" s="150"/>
    </row>
    <row r="132" spans="1:23" s="148" customFormat="1" x14ac:dyDescent="0.25">
      <c r="A132" s="1206" t="s">
        <v>72</v>
      </c>
      <c r="B132" s="1207"/>
      <c r="C132" s="1207"/>
      <c r="D132" s="1207"/>
      <c r="E132" s="1207"/>
      <c r="F132" s="1207"/>
      <c r="G132" s="1207"/>
      <c r="H132" s="1207"/>
      <c r="I132" s="1207"/>
      <c r="J132" s="1207"/>
      <c r="K132" s="1207"/>
      <c r="L132" s="1207"/>
      <c r="M132" s="1207"/>
      <c r="N132" s="1207"/>
      <c r="O132" s="1207"/>
      <c r="P132" s="1207"/>
      <c r="Q132" s="1207"/>
      <c r="R132" s="1208"/>
      <c r="S132" s="864"/>
      <c r="T132" s="864"/>
      <c r="U132" s="864"/>
      <c r="V132" s="150"/>
      <c r="W132" s="150"/>
    </row>
    <row r="133" spans="1:23" s="148" customFormat="1" ht="25.5" x14ac:dyDescent="0.25">
      <c r="A133" s="1136" t="s">
        <v>1070</v>
      </c>
      <c r="B133" s="1137"/>
      <c r="C133" s="1137"/>
      <c r="D133" s="1137"/>
      <c r="E133" s="1137"/>
      <c r="F133" s="1137"/>
      <c r="G133" s="1137"/>
      <c r="H133" s="1137"/>
      <c r="I133" s="1137"/>
      <c r="J133" s="1137"/>
      <c r="K133" s="1137"/>
      <c r="L133" s="1137"/>
      <c r="M133" s="1138"/>
      <c r="N133" s="194" t="s">
        <v>16</v>
      </c>
      <c r="O133" s="225" t="s">
        <v>49</v>
      </c>
      <c r="P133" s="8"/>
      <c r="Q133" s="194">
        <f>MAX(Q126,Q127,Q128,Q129,Q130,Q131)</f>
        <v>1.46E-2</v>
      </c>
      <c r="R133" s="194">
        <f>R126+R127+R128+R129+R130+R131</f>
        <v>2.3910000000000001E-2</v>
      </c>
      <c r="S133" s="849">
        <f>Q39+Q41+Q46+Q51+Q53+Q66+Q71+Q89+Q106+Q118+Q124+Q133</f>
        <v>0.46689999999999987</v>
      </c>
      <c r="T133" s="849">
        <f>R39+R41+R46+R51+R53+R66+R71+R89+R106+R118+R124+R133</f>
        <v>5.6540900000000009</v>
      </c>
      <c r="U133" s="849">
        <v>2026</v>
      </c>
      <c r="V133" s="150"/>
      <c r="W133" s="150"/>
    </row>
    <row r="134" spans="1:23" ht="18.75" x14ac:dyDescent="0.3">
      <c r="A134" s="1246" t="s">
        <v>11</v>
      </c>
      <c r="B134" s="1247"/>
      <c r="C134" s="1247"/>
      <c r="D134" s="1247"/>
      <c r="E134" s="1247"/>
      <c r="F134" s="1247"/>
      <c r="G134" s="1247"/>
      <c r="H134" s="1247"/>
      <c r="I134" s="1247"/>
      <c r="J134" s="1247"/>
      <c r="K134" s="1247"/>
      <c r="L134" s="1247"/>
      <c r="M134" s="1247"/>
      <c r="N134" s="1247"/>
      <c r="O134" s="1247"/>
      <c r="P134" s="1247"/>
      <c r="Q134" s="1247"/>
      <c r="R134" s="1248"/>
      <c r="S134" s="49"/>
      <c r="T134" s="49"/>
      <c r="U134" s="49"/>
      <c r="V134" s="49"/>
    </row>
    <row r="135" spans="1:23" x14ac:dyDescent="0.25">
      <c r="A135" s="1171" t="s">
        <v>8</v>
      </c>
      <c r="B135" s="1210"/>
      <c r="C135" s="1210"/>
      <c r="D135" s="1210"/>
      <c r="E135" s="1210"/>
      <c r="F135" s="1210"/>
      <c r="G135" s="1210"/>
      <c r="H135" s="1210"/>
      <c r="I135" s="1210"/>
      <c r="J135" s="1210"/>
      <c r="K135" s="1210"/>
      <c r="L135" s="1210"/>
      <c r="M135" s="1210"/>
      <c r="N135" s="1210"/>
      <c r="O135" s="1210"/>
      <c r="P135" s="1210"/>
      <c r="Q135" s="1210"/>
      <c r="R135" s="1211"/>
      <c r="S135" s="49"/>
      <c r="T135" s="49"/>
      <c r="U135" s="49"/>
      <c r="V135" s="49"/>
    </row>
    <row r="136" spans="1:23" ht="63.75" x14ac:dyDescent="0.25">
      <c r="A136" s="1192">
        <v>700103</v>
      </c>
      <c r="B136" s="20" t="s">
        <v>1032</v>
      </c>
      <c r="C136" s="17" t="s">
        <v>17</v>
      </c>
      <c r="D136" s="8">
        <v>0.05</v>
      </c>
      <c r="E136" s="8">
        <v>0.03</v>
      </c>
      <c r="F136" s="18">
        <v>1.4</v>
      </c>
      <c r="G136" s="8">
        <v>1</v>
      </c>
      <c r="H136" s="8">
        <v>0.01</v>
      </c>
      <c r="I136" s="8" t="s">
        <v>47</v>
      </c>
      <c r="J136" s="8">
        <v>0.5</v>
      </c>
      <c r="K136" s="8">
        <v>0.5</v>
      </c>
      <c r="L136" s="8">
        <v>90</v>
      </c>
      <c r="M136" s="8">
        <v>251384</v>
      </c>
      <c r="N136" s="8" t="s">
        <v>16</v>
      </c>
      <c r="O136" s="19" t="s">
        <v>49</v>
      </c>
      <c r="P136" s="8">
        <v>0</v>
      </c>
      <c r="Q136" s="8">
        <f>ROUND(((D136*E136*F136*G136*H136*J136*L136*1000000*K136/3600)*(1-P136)),4)</f>
        <v>0.1313</v>
      </c>
      <c r="R136" s="8">
        <f>ROUND((D136*E136*F136*G136*H136*J136*K136*M136*(1-P136)),4)</f>
        <v>1.3198000000000001</v>
      </c>
      <c r="S136" s="49"/>
      <c r="T136" s="50"/>
      <c r="U136" s="50"/>
      <c r="V136" s="50"/>
    </row>
    <row r="137" spans="1:23" ht="68.25" customHeight="1" x14ac:dyDescent="0.25">
      <c r="A137" s="1218"/>
      <c r="B137" s="20" t="s">
        <v>1033</v>
      </c>
      <c r="C137" s="17" t="s">
        <v>17</v>
      </c>
      <c r="D137" s="8">
        <v>0.05</v>
      </c>
      <c r="E137" s="8">
        <v>0.03</v>
      </c>
      <c r="F137" s="18">
        <v>1.4</v>
      </c>
      <c r="G137" s="8">
        <v>1</v>
      </c>
      <c r="H137" s="8">
        <v>0.01</v>
      </c>
      <c r="I137" s="8" t="s">
        <v>47</v>
      </c>
      <c r="J137" s="8">
        <v>0.5</v>
      </c>
      <c r="K137" s="8">
        <v>0.5</v>
      </c>
      <c r="L137" s="8">
        <v>75</v>
      </c>
      <c r="M137" s="8">
        <v>219267</v>
      </c>
      <c r="N137" s="8" t="s">
        <v>16</v>
      </c>
      <c r="O137" s="19" t="s">
        <v>49</v>
      </c>
      <c r="P137" s="8">
        <v>0</v>
      </c>
      <c r="Q137" s="8">
        <f t="shared" ref="Q137:Q140" si="59">ROUND(((D137*E137*F137*G137*H137*J137*L137*1000000*K137/3600)*(1-P137)),4)</f>
        <v>0.1094</v>
      </c>
      <c r="R137" s="8">
        <f t="shared" ref="R137:R139" si="60">ROUND((D137*E137*F137*G137*H137*J137*K137*M137*(1-P137)),4)</f>
        <v>1.1512</v>
      </c>
      <c r="S137" s="49"/>
      <c r="T137" s="49"/>
      <c r="U137" s="49"/>
      <c r="V137" s="49"/>
    </row>
    <row r="138" spans="1:23" ht="24.95" customHeight="1" x14ac:dyDescent="0.25">
      <c r="A138" s="1218"/>
      <c r="B138" s="20" t="s">
        <v>69</v>
      </c>
      <c r="C138" s="17" t="s">
        <v>17</v>
      </c>
      <c r="D138" s="8">
        <v>0.05</v>
      </c>
      <c r="E138" s="8">
        <v>0.03</v>
      </c>
      <c r="F138" s="18">
        <v>1.4</v>
      </c>
      <c r="G138" s="8">
        <v>1</v>
      </c>
      <c r="H138" s="8">
        <v>0.01</v>
      </c>
      <c r="I138" s="8" t="s">
        <v>47</v>
      </c>
      <c r="J138" s="8">
        <v>0.5</v>
      </c>
      <c r="K138" s="8">
        <v>0.5</v>
      </c>
      <c r="L138" s="8">
        <v>15</v>
      </c>
      <c r="M138" s="8">
        <v>29543</v>
      </c>
      <c r="N138" s="8" t="s">
        <v>16</v>
      </c>
      <c r="O138" s="19" t="s">
        <v>49</v>
      </c>
      <c r="P138" s="8">
        <v>0</v>
      </c>
      <c r="Q138" s="8">
        <f t="shared" si="59"/>
        <v>2.1899999999999999E-2</v>
      </c>
      <c r="R138" s="8">
        <f t="shared" si="60"/>
        <v>0.15509999999999999</v>
      </c>
      <c r="S138" s="49"/>
      <c r="T138" s="49"/>
      <c r="U138" s="49"/>
      <c r="V138" s="49"/>
    </row>
    <row r="139" spans="1:23" ht="24.95" customHeight="1" x14ac:dyDescent="0.25">
      <c r="A139" s="1218"/>
      <c r="B139" s="18" t="s">
        <v>70</v>
      </c>
      <c r="C139" s="17" t="s">
        <v>17</v>
      </c>
      <c r="D139" s="8">
        <v>0.05</v>
      </c>
      <c r="E139" s="8">
        <v>0.03</v>
      </c>
      <c r="F139" s="18">
        <v>1.4</v>
      </c>
      <c r="G139" s="8">
        <v>1</v>
      </c>
      <c r="H139" s="8">
        <v>0.01</v>
      </c>
      <c r="I139" s="8" t="s">
        <v>47</v>
      </c>
      <c r="J139" s="8">
        <v>0.5</v>
      </c>
      <c r="K139" s="8">
        <v>0.5</v>
      </c>
      <c r="L139" s="8">
        <v>5</v>
      </c>
      <c r="M139" s="8">
        <v>14772</v>
      </c>
      <c r="N139" s="8" t="s">
        <v>16</v>
      </c>
      <c r="O139" s="19" t="s">
        <v>49</v>
      </c>
      <c r="P139" s="8">
        <v>0</v>
      </c>
      <c r="Q139" s="8">
        <f t="shared" si="59"/>
        <v>7.3000000000000001E-3</v>
      </c>
      <c r="R139" s="8">
        <f t="shared" si="60"/>
        <v>7.7600000000000002E-2</v>
      </c>
      <c r="S139" s="49"/>
      <c r="T139" s="49"/>
      <c r="U139" s="49"/>
      <c r="V139" s="49"/>
    </row>
    <row r="140" spans="1:23" ht="51" x14ac:dyDescent="0.25">
      <c r="A140" s="1219"/>
      <c r="B140" s="20" t="s">
        <v>71</v>
      </c>
      <c r="C140" s="17" t="s">
        <v>68</v>
      </c>
      <c r="D140" s="8">
        <v>0.02</v>
      </c>
      <c r="E140" s="8">
        <v>0.01</v>
      </c>
      <c r="F140" s="18">
        <v>1.4</v>
      </c>
      <c r="G140" s="8">
        <v>1</v>
      </c>
      <c r="H140" s="8">
        <v>0.01</v>
      </c>
      <c r="I140" s="8" t="s">
        <v>47</v>
      </c>
      <c r="J140" s="8">
        <v>0.4</v>
      </c>
      <c r="K140" s="8">
        <v>0.5</v>
      </c>
      <c r="L140" s="8">
        <v>5</v>
      </c>
      <c r="M140" s="8">
        <v>8.1</v>
      </c>
      <c r="N140" s="8" t="s">
        <v>16</v>
      </c>
      <c r="O140" s="19" t="s">
        <v>49</v>
      </c>
      <c r="P140" s="8">
        <v>0.8</v>
      </c>
      <c r="Q140" s="8">
        <f t="shared" si="59"/>
        <v>2.0000000000000001E-4</v>
      </c>
      <c r="R140" s="8">
        <f>ROUND((D140*E140*F140*G140*H140*J140*K140*M140*(1-P140)),6)</f>
        <v>9.9999999999999995E-7</v>
      </c>
      <c r="S140" s="49"/>
      <c r="T140" s="49"/>
      <c r="U140" s="49"/>
      <c r="V140" s="49"/>
    </row>
    <row r="141" spans="1:23" x14ac:dyDescent="0.25">
      <c r="A141" s="1206" t="s">
        <v>72</v>
      </c>
      <c r="B141" s="1207"/>
      <c r="C141" s="1207"/>
      <c r="D141" s="1207"/>
      <c r="E141" s="1207"/>
      <c r="F141" s="1207"/>
      <c r="G141" s="1207"/>
      <c r="H141" s="1207"/>
      <c r="I141" s="1207"/>
      <c r="J141" s="1207"/>
      <c r="K141" s="1207"/>
      <c r="L141" s="1207"/>
      <c r="M141" s="1207"/>
      <c r="N141" s="1207"/>
      <c r="O141" s="1207"/>
      <c r="P141" s="1207"/>
      <c r="Q141" s="1207"/>
      <c r="R141" s="1208"/>
    </row>
    <row r="142" spans="1:23" ht="25.5" x14ac:dyDescent="0.25">
      <c r="A142" s="1136" t="s">
        <v>311</v>
      </c>
      <c r="B142" s="1137"/>
      <c r="C142" s="1137"/>
      <c r="D142" s="1137"/>
      <c r="E142" s="1137"/>
      <c r="F142" s="1137"/>
      <c r="G142" s="1137"/>
      <c r="H142" s="1137"/>
      <c r="I142" s="1137"/>
      <c r="J142" s="1137"/>
      <c r="K142" s="1137"/>
      <c r="L142" s="1137"/>
      <c r="M142" s="1138"/>
      <c r="N142" s="194" t="s">
        <v>16</v>
      </c>
      <c r="O142" s="225" t="s">
        <v>49</v>
      </c>
      <c r="P142" s="8"/>
      <c r="Q142" s="194">
        <f>MAX(Q138,Q139,Q140,Q136,Q137)</f>
        <v>0.1313</v>
      </c>
      <c r="R142" s="194">
        <f>R136+R137+R138+R139+R140</f>
        <v>2.7037010000000001</v>
      </c>
    </row>
    <row r="143" spans="1:23" x14ac:dyDescent="0.25">
      <c r="A143" s="1171" t="s">
        <v>204</v>
      </c>
      <c r="B143" s="1210"/>
      <c r="C143" s="1210"/>
      <c r="D143" s="1210"/>
      <c r="E143" s="1210"/>
      <c r="F143" s="1210"/>
      <c r="G143" s="1210"/>
      <c r="H143" s="1210"/>
      <c r="I143" s="1210"/>
      <c r="J143" s="1210"/>
      <c r="K143" s="1210"/>
      <c r="L143" s="1210"/>
      <c r="M143" s="1210"/>
      <c r="N143" s="1210"/>
      <c r="O143" s="1210"/>
      <c r="P143" s="1210"/>
      <c r="Q143" s="1210"/>
      <c r="R143" s="1211"/>
      <c r="S143" s="49"/>
      <c r="T143" s="49"/>
      <c r="U143" s="49"/>
      <c r="V143" s="49"/>
      <c r="W143" s="49"/>
    </row>
    <row r="144" spans="1:23" ht="25.5" x14ac:dyDescent="0.25">
      <c r="A144" s="1209">
        <v>700902</v>
      </c>
      <c r="B144" s="20" t="s">
        <v>69</v>
      </c>
      <c r="C144" s="17" t="s">
        <v>17</v>
      </c>
      <c r="D144" s="8">
        <v>0.05</v>
      </c>
      <c r="E144" s="8">
        <v>0.03</v>
      </c>
      <c r="F144" s="18">
        <v>1.4</v>
      </c>
      <c r="G144" s="8">
        <v>1</v>
      </c>
      <c r="H144" s="8">
        <v>0.01</v>
      </c>
      <c r="I144" s="8" t="s">
        <v>47</v>
      </c>
      <c r="J144" s="8">
        <v>0.5</v>
      </c>
      <c r="K144" s="8">
        <v>0.5</v>
      </c>
      <c r="L144" s="8">
        <v>15</v>
      </c>
      <c r="M144" s="8">
        <v>11167</v>
      </c>
      <c r="N144" s="8" t="s">
        <v>16</v>
      </c>
      <c r="O144" s="19" t="s">
        <v>49</v>
      </c>
      <c r="P144" s="8">
        <v>0</v>
      </c>
      <c r="Q144" s="8">
        <f t="shared" ref="Q144:Q145" si="61">ROUND(((D144*E144*F144*G144*H144*J144*L144*1000000*K144/3600)*(1-P144)),4)</f>
        <v>2.1899999999999999E-2</v>
      </c>
      <c r="R144" s="8">
        <f t="shared" ref="R144:R145" si="62">ROUND((D144*E144*F144*G144*H144*J144*K144*M144*(1-P144)),4)</f>
        <v>5.8599999999999999E-2</v>
      </c>
      <c r="S144" s="49"/>
      <c r="T144" s="49"/>
      <c r="U144" s="49"/>
      <c r="V144" s="49"/>
      <c r="W144" s="49"/>
    </row>
    <row r="145" spans="1:23" ht="25.5" x14ac:dyDescent="0.25">
      <c r="A145" s="1196"/>
      <c r="B145" s="8" t="s">
        <v>70</v>
      </c>
      <c r="C145" s="17" t="s">
        <v>17</v>
      </c>
      <c r="D145" s="8">
        <v>0.05</v>
      </c>
      <c r="E145" s="8">
        <v>0.03</v>
      </c>
      <c r="F145" s="18">
        <v>1.4</v>
      </c>
      <c r="G145" s="8">
        <v>1</v>
      </c>
      <c r="H145" s="8">
        <v>0.01</v>
      </c>
      <c r="I145" s="8" t="s">
        <v>47</v>
      </c>
      <c r="J145" s="8">
        <v>0.5</v>
      </c>
      <c r="K145" s="8">
        <v>0.5</v>
      </c>
      <c r="L145" s="8">
        <v>5</v>
      </c>
      <c r="M145" s="8">
        <v>6204</v>
      </c>
      <c r="N145" s="8" t="s">
        <v>16</v>
      </c>
      <c r="O145" s="19" t="s">
        <v>49</v>
      </c>
      <c r="P145" s="8">
        <v>0</v>
      </c>
      <c r="Q145" s="8">
        <f t="shared" si="61"/>
        <v>7.3000000000000001E-3</v>
      </c>
      <c r="R145" s="8">
        <f t="shared" si="62"/>
        <v>3.2599999999999997E-2</v>
      </c>
      <c r="S145" s="49"/>
      <c r="T145" s="49"/>
      <c r="U145" s="49"/>
      <c r="V145" s="49"/>
      <c r="W145" s="49"/>
    </row>
    <row r="146" spans="1:23" x14ac:dyDescent="0.25">
      <c r="A146" s="1206" t="s">
        <v>72</v>
      </c>
      <c r="B146" s="1207"/>
      <c r="C146" s="1207"/>
      <c r="D146" s="1207"/>
      <c r="E146" s="1207"/>
      <c r="F146" s="1207"/>
      <c r="G146" s="1207"/>
      <c r="H146" s="1207"/>
      <c r="I146" s="1207"/>
      <c r="J146" s="1207"/>
      <c r="K146" s="1207"/>
      <c r="L146" s="1207"/>
      <c r="M146" s="1207"/>
      <c r="N146" s="1207"/>
      <c r="O146" s="1207"/>
      <c r="P146" s="1207"/>
      <c r="Q146" s="1207"/>
      <c r="R146" s="1208"/>
    </row>
    <row r="147" spans="1:23" ht="25.5" x14ac:dyDescent="0.25">
      <c r="A147" s="1136" t="s">
        <v>383</v>
      </c>
      <c r="B147" s="1137"/>
      <c r="C147" s="1137"/>
      <c r="D147" s="1137"/>
      <c r="E147" s="1137"/>
      <c r="F147" s="1137"/>
      <c r="G147" s="1137"/>
      <c r="H147" s="1137"/>
      <c r="I147" s="1137"/>
      <c r="J147" s="1137"/>
      <c r="K147" s="1137"/>
      <c r="L147" s="1137"/>
      <c r="M147" s="1138"/>
      <c r="N147" s="194" t="s">
        <v>16</v>
      </c>
      <c r="O147" s="225" t="s">
        <v>49</v>
      </c>
      <c r="P147" s="8"/>
      <c r="Q147" s="194">
        <f>MAX(Q144,Q145)</f>
        <v>2.1899999999999999E-2</v>
      </c>
      <c r="R147" s="194">
        <f>R144+R145</f>
        <v>9.1200000000000003E-2</v>
      </c>
    </row>
    <row r="148" spans="1:23" x14ac:dyDescent="0.25">
      <c r="A148" s="1171" t="s">
        <v>210</v>
      </c>
      <c r="B148" s="1210"/>
      <c r="C148" s="1210"/>
      <c r="D148" s="1210"/>
      <c r="E148" s="1210"/>
      <c r="F148" s="1210"/>
      <c r="G148" s="1210"/>
      <c r="H148" s="1210"/>
      <c r="I148" s="1210"/>
      <c r="J148" s="1210"/>
      <c r="K148" s="1210"/>
      <c r="L148" s="1210"/>
      <c r="M148" s="1210"/>
      <c r="N148" s="1210"/>
      <c r="O148" s="1210"/>
      <c r="P148" s="1210"/>
      <c r="Q148" s="1210"/>
      <c r="R148" s="1211"/>
    </row>
    <row r="149" spans="1:23" ht="25.5" x14ac:dyDescent="0.25">
      <c r="A149" s="1209">
        <v>701402</v>
      </c>
      <c r="B149" s="20" t="s">
        <v>69</v>
      </c>
      <c r="C149" s="17" t="s">
        <v>17</v>
      </c>
      <c r="D149" s="8">
        <v>0.05</v>
      </c>
      <c r="E149" s="8">
        <v>0.03</v>
      </c>
      <c r="F149" s="18">
        <v>1.4</v>
      </c>
      <c r="G149" s="8">
        <v>1</v>
      </c>
      <c r="H149" s="8">
        <v>0.01</v>
      </c>
      <c r="I149" s="8" t="s">
        <v>47</v>
      </c>
      <c r="J149" s="8">
        <v>0.5</v>
      </c>
      <c r="K149" s="8">
        <v>0.5</v>
      </c>
      <c r="L149" s="8">
        <v>15</v>
      </c>
      <c r="M149" s="8">
        <v>3374</v>
      </c>
      <c r="N149" s="8" t="s">
        <v>16</v>
      </c>
      <c r="O149" s="19" t="s">
        <v>49</v>
      </c>
      <c r="P149" s="8">
        <v>0</v>
      </c>
      <c r="Q149" s="8">
        <f t="shared" ref="Q149:Q150" si="63">ROUND(((D149*E149*F149*G149*H149*J149*L149*1000000*K149/3600)*(1-P149)),4)</f>
        <v>2.1899999999999999E-2</v>
      </c>
      <c r="R149" s="8">
        <f t="shared" ref="R149:R150" si="64">ROUND((D149*E149*F149*G149*H149*J149*K149*M149*(1-P149)),4)</f>
        <v>1.77E-2</v>
      </c>
    </row>
    <row r="150" spans="1:23" ht="25.5" x14ac:dyDescent="0.25">
      <c r="A150" s="1196"/>
      <c r="B150" s="8" t="s">
        <v>70</v>
      </c>
      <c r="C150" s="17" t="s">
        <v>17</v>
      </c>
      <c r="D150" s="8">
        <v>0.05</v>
      </c>
      <c r="E150" s="8">
        <v>0.03</v>
      </c>
      <c r="F150" s="18">
        <v>1.4</v>
      </c>
      <c r="G150" s="8">
        <v>1</v>
      </c>
      <c r="H150" s="8">
        <v>0.01</v>
      </c>
      <c r="I150" s="8" t="s">
        <v>47</v>
      </c>
      <c r="J150" s="8">
        <v>0.5</v>
      </c>
      <c r="K150" s="8">
        <v>0.5</v>
      </c>
      <c r="L150" s="8">
        <v>5</v>
      </c>
      <c r="M150" s="8">
        <v>1687</v>
      </c>
      <c r="N150" s="8" t="s">
        <v>16</v>
      </c>
      <c r="O150" s="19" t="s">
        <v>49</v>
      </c>
      <c r="P150" s="8">
        <v>0</v>
      </c>
      <c r="Q150" s="8">
        <f t="shared" si="63"/>
        <v>7.3000000000000001E-3</v>
      </c>
      <c r="R150" s="8">
        <f t="shared" si="64"/>
        <v>8.8999999999999999E-3</v>
      </c>
    </row>
    <row r="151" spans="1:23" x14ac:dyDescent="0.25">
      <c r="A151" s="1206" t="s">
        <v>72</v>
      </c>
      <c r="B151" s="1207"/>
      <c r="C151" s="1207"/>
      <c r="D151" s="1207"/>
      <c r="E151" s="1207"/>
      <c r="F151" s="1207"/>
      <c r="G151" s="1207"/>
      <c r="H151" s="1207"/>
      <c r="I151" s="1207"/>
      <c r="J151" s="1207"/>
      <c r="K151" s="1207"/>
      <c r="L151" s="1207"/>
      <c r="M151" s="1207"/>
      <c r="N151" s="1207"/>
      <c r="O151" s="1207"/>
      <c r="P151" s="1207"/>
      <c r="Q151" s="1207"/>
      <c r="R151" s="1208"/>
    </row>
    <row r="152" spans="1:23" ht="25.5" x14ac:dyDescent="0.25">
      <c r="A152" s="1136" t="s">
        <v>389</v>
      </c>
      <c r="B152" s="1137"/>
      <c r="C152" s="1137"/>
      <c r="D152" s="1137"/>
      <c r="E152" s="1137"/>
      <c r="F152" s="1137"/>
      <c r="G152" s="1137"/>
      <c r="H152" s="1137"/>
      <c r="I152" s="1137"/>
      <c r="J152" s="1137"/>
      <c r="K152" s="1137"/>
      <c r="L152" s="1137"/>
      <c r="M152" s="1138"/>
      <c r="N152" s="194" t="s">
        <v>16</v>
      </c>
      <c r="O152" s="225" t="s">
        <v>49</v>
      </c>
      <c r="P152" s="8"/>
      <c r="Q152" s="194">
        <f>MAX(Q149,Q150)</f>
        <v>2.1899999999999999E-2</v>
      </c>
      <c r="R152" s="194">
        <f>R149+R150</f>
        <v>2.6599999999999999E-2</v>
      </c>
    </row>
    <row r="153" spans="1:23" x14ac:dyDescent="0.25">
      <c r="A153" s="1171" t="s">
        <v>213</v>
      </c>
      <c r="B153" s="1210"/>
      <c r="C153" s="1210"/>
      <c r="D153" s="1210"/>
      <c r="E153" s="1210"/>
      <c r="F153" s="1210"/>
      <c r="G153" s="1210"/>
      <c r="H153" s="1210"/>
      <c r="I153" s="1210"/>
      <c r="J153" s="1210"/>
      <c r="K153" s="1210"/>
      <c r="L153" s="1210"/>
      <c r="M153" s="1210"/>
      <c r="N153" s="1210"/>
      <c r="O153" s="1210"/>
      <c r="P153" s="1210"/>
      <c r="Q153" s="1210"/>
      <c r="R153" s="1211"/>
    </row>
    <row r="154" spans="1:23" ht="25.5" x14ac:dyDescent="0.25">
      <c r="A154" s="1209">
        <v>701902</v>
      </c>
      <c r="B154" s="20" t="s">
        <v>69</v>
      </c>
      <c r="C154" s="17" t="s">
        <v>17</v>
      </c>
      <c r="D154" s="8">
        <v>0.05</v>
      </c>
      <c r="E154" s="8">
        <v>0.03</v>
      </c>
      <c r="F154" s="18">
        <v>1.4</v>
      </c>
      <c r="G154" s="8">
        <v>1</v>
      </c>
      <c r="H154" s="8">
        <v>0.01</v>
      </c>
      <c r="I154" s="8" t="s">
        <v>47</v>
      </c>
      <c r="J154" s="8">
        <v>0.5</v>
      </c>
      <c r="K154" s="8">
        <v>0.5</v>
      </c>
      <c r="L154" s="8">
        <v>15</v>
      </c>
      <c r="M154" s="8">
        <v>10809</v>
      </c>
      <c r="N154" s="8" t="s">
        <v>16</v>
      </c>
      <c r="O154" s="19" t="s">
        <v>49</v>
      </c>
      <c r="P154" s="8">
        <v>0</v>
      </c>
      <c r="Q154" s="8">
        <f t="shared" ref="Q154:Q155" si="65">ROUND(((D154*E154*F154*G154*H154*J154*L154*1000000*K154/3600)*(1-P154)),4)</f>
        <v>2.1899999999999999E-2</v>
      </c>
      <c r="R154" s="8">
        <f t="shared" ref="R154:R155" si="66">ROUND((D154*E154*F154*G154*H154*J154*K154*M154*(1-P154)),4)</f>
        <v>5.67E-2</v>
      </c>
    </row>
    <row r="155" spans="1:23" ht="25.5" x14ac:dyDescent="0.25">
      <c r="A155" s="1196"/>
      <c r="B155" s="8" t="s">
        <v>70</v>
      </c>
      <c r="C155" s="17" t="s">
        <v>17</v>
      </c>
      <c r="D155" s="8">
        <v>0.05</v>
      </c>
      <c r="E155" s="8">
        <v>0.03</v>
      </c>
      <c r="F155" s="18">
        <v>1.4</v>
      </c>
      <c r="G155" s="8">
        <v>1</v>
      </c>
      <c r="H155" s="8">
        <v>0.01</v>
      </c>
      <c r="I155" s="8" t="s">
        <v>47</v>
      </c>
      <c r="J155" s="8">
        <v>0.5</v>
      </c>
      <c r="K155" s="8">
        <v>0.5</v>
      </c>
      <c r="L155" s="8">
        <v>5</v>
      </c>
      <c r="M155" s="8">
        <v>5405</v>
      </c>
      <c r="N155" s="8" t="s">
        <v>16</v>
      </c>
      <c r="O155" s="19" t="s">
        <v>49</v>
      </c>
      <c r="P155" s="8">
        <v>0</v>
      </c>
      <c r="Q155" s="8">
        <f t="shared" si="65"/>
        <v>7.3000000000000001E-3</v>
      </c>
      <c r="R155" s="8">
        <f t="shared" si="66"/>
        <v>2.8400000000000002E-2</v>
      </c>
    </row>
    <row r="156" spans="1:23" x14ac:dyDescent="0.25">
      <c r="A156" s="1206" t="s">
        <v>72</v>
      </c>
      <c r="B156" s="1207"/>
      <c r="C156" s="1207"/>
      <c r="D156" s="1207"/>
      <c r="E156" s="1207"/>
      <c r="F156" s="1207"/>
      <c r="G156" s="1207"/>
      <c r="H156" s="1207"/>
      <c r="I156" s="1207"/>
      <c r="J156" s="1207"/>
      <c r="K156" s="1207"/>
      <c r="L156" s="1207"/>
      <c r="M156" s="1207"/>
      <c r="N156" s="1207"/>
      <c r="O156" s="1207"/>
      <c r="P156" s="1207"/>
      <c r="Q156" s="1207"/>
      <c r="R156" s="1208"/>
    </row>
    <row r="157" spans="1:23" ht="25.5" x14ac:dyDescent="0.25">
      <c r="A157" s="1136" t="s">
        <v>395</v>
      </c>
      <c r="B157" s="1137"/>
      <c r="C157" s="1137"/>
      <c r="D157" s="1137"/>
      <c r="E157" s="1137"/>
      <c r="F157" s="1137"/>
      <c r="G157" s="1137"/>
      <c r="H157" s="1137"/>
      <c r="I157" s="1137"/>
      <c r="J157" s="1137"/>
      <c r="K157" s="1137"/>
      <c r="L157" s="1137"/>
      <c r="M157" s="1138"/>
      <c r="N157" s="194" t="s">
        <v>16</v>
      </c>
      <c r="O157" s="225" t="s">
        <v>49</v>
      </c>
      <c r="P157" s="8"/>
      <c r="Q157" s="194">
        <f>MAX(Q154,Q155)</f>
        <v>2.1899999999999999E-2</v>
      </c>
      <c r="R157" s="194">
        <f>R154+R155</f>
        <v>8.5100000000000009E-2</v>
      </c>
    </row>
    <row r="158" spans="1:23" x14ac:dyDescent="0.25">
      <c r="A158" s="1171" t="s">
        <v>215</v>
      </c>
      <c r="B158" s="1210"/>
      <c r="C158" s="1210"/>
      <c r="D158" s="1210"/>
      <c r="E158" s="1210"/>
      <c r="F158" s="1210"/>
      <c r="G158" s="1210"/>
      <c r="H158" s="1210"/>
      <c r="I158" s="1210"/>
      <c r="J158" s="1210"/>
      <c r="K158" s="1210"/>
      <c r="L158" s="1210"/>
      <c r="M158" s="1210"/>
      <c r="N158" s="1210"/>
      <c r="O158" s="1210"/>
      <c r="P158" s="1210"/>
      <c r="Q158" s="1210"/>
      <c r="R158" s="1211"/>
    </row>
    <row r="159" spans="1:23" ht="25.5" x14ac:dyDescent="0.25">
      <c r="A159" s="185">
        <v>702502</v>
      </c>
      <c r="B159" s="8" t="s">
        <v>70</v>
      </c>
      <c r="C159" s="17" t="s">
        <v>17</v>
      </c>
      <c r="D159" s="8">
        <v>0.05</v>
      </c>
      <c r="E159" s="8">
        <v>0.03</v>
      </c>
      <c r="F159" s="18">
        <v>1.4</v>
      </c>
      <c r="G159" s="8">
        <v>1</v>
      </c>
      <c r="H159" s="8">
        <v>0.01</v>
      </c>
      <c r="I159" s="8" t="s">
        <v>47</v>
      </c>
      <c r="J159" s="8">
        <v>0.5</v>
      </c>
      <c r="K159" s="8">
        <v>0.5</v>
      </c>
      <c r="L159" s="8">
        <v>20</v>
      </c>
      <c r="M159" s="8">
        <v>34384</v>
      </c>
      <c r="N159" s="8" t="s">
        <v>16</v>
      </c>
      <c r="O159" s="19" t="s">
        <v>49</v>
      </c>
      <c r="P159" s="8">
        <v>0</v>
      </c>
      <c r="Q159" s="194">
        <f t="shared" ref="Q159" si="67">ROUND(((D159*E159*F159*G159*H159*J159*L159*1000000*K159/3600)*(1-P159)),4)</f>
        <v>2.92E-2</v>
      </c>
      <c r="R159" s="194">
        <f t="shared" ref="R159" si="68">ROUND((D159*E159*F159*G159*H159*J159*K159*M159*(1-P159)),4)</f>
        <v>0.18049999999999999</v>
      </c>
    </row>
    <row r="160" spans="1:23" x14ac:dyDescent="0.25">
      <c r="A160" s="1171" t="s">
        <v>232</v>
      </c>
      <c r="B160" s="1210"/>
      <c r="C160" s="1210"/>
      <c r="D160" s="1210"/>
      <c r="E160" s="1210"/>
      <c r="F160" s="1210"/>
      <c r="G160" s="1210"/>
      <c r="H160" s="1210"/>
      <c r="I160" s="1210"/>
      <c r="J160" s="1210"/>
      <c r="K160" s="1210"/>
      <c r="L160" s="1210"/>
      <c r="M160" s="1210"/>
      <c r="N160" s="1210"/>
      <c r="O160" s="1210"/>
      <c r="P160" s="1210"/>
      <c r="Q160" s="1210"/>
      <c r="R160" s="1211"/>
    </row>
    <row r="161" spans="1:19" ht="25.5" x14ac:dyDescent="0.25">
      <c r="A161" s="185">
        <v>703002</v>
      </c>
      <c r="B161" s="20" t="s">
        <v>69</v>
      </c>
      <c r="C161" s="17" t="s">
        <v>17</v>
      </c>
      <c r="D161" s="8">
        <v>0.05</v>
      </c>
      <c r="E161" s="8">
        <v>0.03</v>
      </c>
      <c r="F161" s="18">
        <v>1.4</v>
      </c>
      <c r="G161" s="8">
        <v>1</v>
      </c>
      <c r="H161" s="8">
        <v>0.01</v>
      </c>
      <c r="I161" s="8" t="s">
        <v>47</v>
      </c>
      <c r="J161" s="8">
        <v>0.5</v>
      </c>
      <c r="K161" s="8">
        <v>0.5</v>
      </c>
      <c r="L161" s="8">
        <v>15</v>
      </c>
      <c r="M161" s="8">
        <v>10795</v>
      </c>
      <c r="N161" s="8" t="s">
        <v>16</v>
      </c>
      <c r="O161" s="19" t="s">
        <v>49</v>
      </c>
      <c r="P161" s="8">
        <v>0</v>
      </c>
      <c r="Q161" s="194">
        <f t="shared" ref="Q161" si="69">ROUND(((D161*E161*F161*G161*H161*J161*L161*1000000*K161/3600)*(1-P161)),4)</f>
        <v>2.1899999999999999E-2</v>
      </c>
      <c r="R161" s="194">
        <f t="shared" ref="R161" si="70">ROUND((D161*E161*F161*G161*H161*J161*K161*M161*(1-P161)),4)</f>
        <v>5.67E-2</v>
      </c>
    </row>
    <row r="162" spans="1:19" x14ac:dyDescent="0.25">
      <c r="A162" s="1171" t="s">
        <v>233</v>
      </c>
      <c r="B162" s="1210"/>
      <c r="C162" s="1210"/>
      <c r="D162" s="1210"/>
      <c r="E162" s="1210"/>
      <c r="F162" s="1210"/>
      <c r="G162" s="1210"/>
      <c r="H162" s="1210"/>
      <c r="I162" s="1210"/>
      <c r="J162" s="1210"/>
      <c r="K162" s="1210"/>
      <c r="L162" s="1210"/>
      <c r="M162" s="1210"/>
      <c r="N162" s="1210"/>
      <c r="O162" s="1210"/>
      <c r="P162" s="1210"/>
      <c r="Q162" s="1210"/>
      <c r="R162" s="1211"/>
    </row>
    <row r="163" spans="1:19" ht="25.5" x14ac:dyDescent="0.25">
      <c r="A163" s="1209">
        <v>703602</v>
      </c>
      <c r="B163" s="20" t="s">
        <v>69</v>
      </c>
      <c r="C163" s="17" t="s">
        <v>17</v>
      </c>
      <c r="D163" s="8">
        <v>0.05</v>
      </c>
      <c r="E163" s="8">
        <v>0.03</v>
      </c>
      <c r="F163" s="18">
        <v>1.4</v>
      </c>
      <c r="G163" s="8">
        <v>1</v>
      </c>
      <c r="H163" s="8">
        <v>0.01</v>
      </c>
      <c r="I163" s="8" t="s">
        <v>47</v>
      </c>
      <c r="J163" s="8">
        <v>0.5</v>
      </c>
      <c r="K163" s="8">
        <v>0.5</v>
      </c>
      <c r="L163" s="8">
        <v>15</v>
      </c>
      <c r="M163" s="8">
        <v>9995</v>
      </c>
      <c r="N163" s="8" t="s">
        <v>16</v>
      </c>
      <c r="O163" s="19" t="s">
        <v>49</v>
      </c>
      <c r="P163" s="8">
        <v>0</v>
      </c>
      <c r="Q163" s="8">
        <f t="shared" ref="Q163:Q164" si="71">ROUND(((D163*E163*F163*G163*H163*J163*L163*1000000*K163/3600)*(1-P163)),4)</f>
        <v>2.1899999999999999E-2</v>
      </c>
      <c r="R163" s="8">
        <f t="shared" ref="R163:R164" si="72">ROUND((D163*E163*F163*G163*H163*J163*K163*M163*(1-P163)),4)</f>
        <v>5.2499999999999998E-2</v>
      </c>
      <c r="S163" s="50"/>
    </row>
    <row r="164" spans="1:19" ht="25.5" x14ac:dyDescent="0.25">
      <c r="A164" s="1196"/>
      <c r="B164" s="8" t="s">
        <v>70</v>
      </c>
      <c r="C164" s="17" t="s">
        <v>17</v>
      </c>
      <c r="D164" s="8">
        <v>0.05</v>
      </c>
      <c r="E164" s="8">
        <v>0.03</v>
      </c>
      <c r="F164" s="18">
        <v>1.4</v>
      </c>
      <c r="G164" s="8">
        <v>1</v>
      </c>
      <c r="H164" s="8">
        <v>0.01</v>
      </c>
      <c r="I164" s="8" t="s">
        <v>47</v>
      </c>
      <c r="J164" s="8">
        <v>0.5</v>
      </c>
      <c r="K164" s="8">
        <v>0.5</v>
      </c>
      <c r="L164" s="8">
        <v>5</v>
      </c>
      <c r="M164" s="8">
        <v>4998</v>
      </c>
      <c r="N164" s="8" t="s">
        <v>16</v>
      </c>
      <c r="O164" s="19" t="s">
        <v>49</v>
      </c>
      <c r="P164" s="8">
        <v>0</v>
      </c>
      <c r="Q164" s="8">
        <f t="shared" si="71"/>
        <v>7.3000000000000001E-3</v>
      </c>
      <c r="R164" s="8">
        <f t="shared" si="72"/>
        <v>2.6200000000000001E-2</v>
      </c>
    </row>
    <row r="165" spans="1:19" x14ac:dyDescent="0.25">
      <c r="A165" s="1206" t="s">
        <v>72</v>
      </c>
      <c r="B165" s="1207"/>
      <c r="C165" s="1207"/>
      <c r="D165" s="1207"/>
      <c r="E165" s="1207"/>
      <c r="F165" s="1207"/>
      <c r="G165" s="1207"/>
      <c r="H165" s="1207"/>
      <c r="I165" s="1207"/>
      <c r="J165" s="1207"/>
      <c r="K165" s="1207"/>
      <c r="L165" s="1207"/>
      <c r="M165" s="1207"/>
      <c r="N165" s="1207"/>
      <c r="O165" s="1207"/>
      <c r="P165" s="1207"/>
      <c r="Q165" s="1207"/>
      <c r="R165" s="1208"/>
    </row>
    <row r="166" spans="1:19" ht="25.5" x14ac:dyDescent="0.25">
      <c r="A166" s="1136" t="s">
        <v>410</v>
      </c>
      <c r="B166" s="1137"/>
      <c r="C166" s="1137"/>
      <c r="D166" s="1137"/>
      <c r="E166" s="1137"/>
      <c r="F166" s="1137"/>
      <c r="G166" s="1137"/>
      <c r="H166" s="1137"/>
      <c r="I166" s="1137"/>
      <c r="J166" s="1137"/>
      <c r="K166" s="1137"/>
      <c r="L166" s="1137"/>
      <c r="M166" s="1138"/>
      <c r="N166" s="194" t="s">
        <v>16</v>
      </c>
      <c r="O166" s="225" t="s">
        <v>49</v>
      </c>
      <c r="P166" s="8"/>
      <c r="Q166" s="194">
        <f>MAX(Q163,Q164)</f>
        <v>2.1899999999999999E-2</v>
      </c>
      <c r="R166" s="194">
        <f>R163+R164</f>
        <v>7.8699999999999992E-2</v>
      </c>
    </row>
    <row r="167" spans="1:19" x14ac:dyDescent="0.25">
      <c r="A167" s="1171" t="s">
        <v>244</v>
      </c>
      <c r="B167" s="1210"/>
      <c r="C167" s="1210"/>
      <c r="D167" s="1210"/>
      <c r="E167" s="1210"/>
      <c r="F167" s="1210"/>
      <c r="G167" s="1210"/>
      <c r="H167" s="1210"/>
      <c r="I167" s="1210"/>
      <c r="J167" s="1210"/>
      <c r="K167" s="1210"/>
      <c r="L167" s="1210"/>
      <c r="M167" s="1210"/>
      <c r="N167" s="1210"/>
      <c r="O167" s="1210"/>
      <c r="P167" s="1210"/>
      <c r="Q167" s="1210"/>
      <c r="R167" s="1211"/>
    </row>
    <row r="168" spans="1:19" ht="25.5" x14ac:dyDescent="0.25">
      <c r="A168" s="1227">
        <v>704703</v>
      </c>
      <c r="B168" s="18" t="s">
        <v>70</v>
      </c>
      <c r="C168" s="17" t="s">
        <v>17</v>
      </c>
      <c r="D168" s="8">
        <v>0.05</v>
      </c>
      <c r="E168" s="8">
        <v>0.03</v>
      </c>
      <c r="F168" s="18">
        <v>1.4</v>
      </c>
      <c r="G168" s="8">
        <v>1</v>
      </c>
      <c r="H168" s="8">
        <v>0.01</v>
      </c>
      <c r="I168" s="8" t="s">
        <v>47</v>
      </c>
      <c r="J168" s="8">
        <v>0.5</v>
      </c>
      <c r="K168" s="8">
        <v>0.5</v>
      </c>
      <c r="L168" s="8">
        <v>10</v>
      </c>
      <c r="M168" s="8">
        <v>5522</v>
      </c>
      <c r="N168" s="8" t="s">
        <v>16</v>
      </c>
      <c r="O168" s="19" t="s">
        <v>49</v>
      </c>
      <c r="P168" s="8">
        <v>0</v>
      </c>
      <c r="Q168" s="8">
        <f t="shared" ref="Q168:Q169" si="73">ROUND(((D168*E168*F168*G168*H168*J168*L168*1000000*K168/3600)*(1-P168)),4)</f>
        <v>1.46E-2</v>
      </c>
      <c r="R168" s="8">
        <f t="shared" ref="R168:R169" si="74">ROUND((D168*E168*F168*G168*H168*J168*K168*M168*(1-P168)),4)</f>
        <v>2.9000000000000001E-2</v>
      </c>
    </row>
    <row r="169" spans="1:19" ht="38.25" x14ac:dyDescent="0.25">
      <c r="A169" s="1228"/>
      <c r="B169" s="20" t="s">
        <v>245</v>
      </c>
      <c r="C169" s="17" t="s">
        <v>246</v>
      </c>
      <c r="D169" s="8">
        <v>0.02</v>
      </c>
      <c r="E169" s="8">
        <v>0.01</v>
      </c>
      <c r="F169" s="18">
        <v>1.4</v>
      </c>
      <c r="G169" s="8">
        <v>1</v>
      </c>
      <c r="H169" s="8">
        <v>0.01</v>
      </c>
      <c r="I169" s="8" t="s">
        <v>47</v>
      </c>
      <c r="J169" s="8">
        <v>0.5</v>
      </c>
      <c r="K169" s="8">
        <v>0.5</v>
      </c>
      <c r="L169" s="8">
        <v>5</v>
      </c>
      <c r="M169" s="8">
        <v>2279</v>
      </c>
      <c r="N169" s="8" t="s">
        <v>16</v>
      </c>
      <c r="O169" s="19" t="s">
        <v>49</v>
      </c>
      <c r="P169" s="8">
        <v>0.8</v>
      </c>
      <c r="Q169" s="8">
        <f t="shared" si="73"/>
        <v>2.0000000000000001E-4</v>
      </c>
      <c r="R169" s="8">
        <f t="shared" si="74"/>
        <v>2.9999999999999997E-4</v>
      </c>
    </row>
    <row r="170" spans="1:19" x14ac:dyDescent="0.25">
      <c r="A170" s="1206" t="s">
        <v>72</v>
      </c>
      <c r="B170" s="1207"/>
      <c r="C170" s="1207"/>
      <c r="D170" s="1207"/>
      <c r="E170" s="1207"/>
      <c r="F170" s="1207"/>
      <c r="G170" s="1207"/>
      <c r="H170" s="1207"/>
      <c r="I170" s="1207"/>
      <c r="J170" s="1207"/>
      <c r="K170" s="1207"/>
      <c r="L170" s="1207"/>
      <c r="M170" s="1207"/>
      <c r="N170" s="1207"/>
      <c r="O170" s="1207"/>
      <c r="P170" s="1207"/>
      <c r="Q170" s="1207"/>
      <c r="R170" s="1208"/>
    </row>
    <row r="171" spans="1:19" ht="25.5" x14ac:dyDescent="0.25">
      <c r="A171" s="1136" t="s">
        <v>424</v>
      </c>
      <c r="B171" s="1137"/>
      <c r="C171" s="1137"/>
      <c r="D171" s="1137"/>
      <c r="E171" s="1137"/>
      <c r="F171" s="1137"/>
      <c r="G171" s="1137"/>
      <c r="H171" s="1137"/>
      <c r="I171" s="1137"/>
      <c r="J171" s="1137"/>
      <c r="K171" s="1137"/>
      <c r="L171" s="1137"/>
      <c r="M171" s="1138"/>
      <c r="N171" s="194" t="s">
        <v>16</v>
      </c>
      <c r="O171" s="225" t="s">
        <v>49</v>
      </c>
      <c r="P171" s="8"/>
      <c r="Q171" s="194">
        <f>MAX(Q168,Q169)</f>
        <v>1.46E-2</v>
      </c>
      <c r="R171" s="194">
        <f>R168+R169</f>
        <v>2.9300000000000003E-2</v>
      </c>
    </row>
    <row r="172" spans="1:19" x14ac:dyDescent="0.25">
      <c r="A172" s="1178" t="s">
        <v>257</v>
      </c>
      <c r="B172" s="1235"/>
      <c r="C172" s="1235"/>
      <c r="D172" s="1235"/>
      <c r="E172" s="1235"/>
      <c r="F172" s="1235"/>
      <c r="G172" s="1235"/>
      <c r="H172" s="1235"/>
      <c r="I172" s="1235"/>
      <c r="J172" s="1235"/>
      <c r="K172" s="1235"/>
      <c r="L172" s="1235"/>
      <c r="M172" s="1235"/>
      <c r="N172" s="1235"/>
      <c r="O172" s="1235"/>
      <c r="P172" s="1235"/>
      <c r="Q172" s="1235"/>
      <c r="R172" s="1236"/>
    </row>
    <row r="173" spans="1:19" ht="38.25" x14ac:dyDescent="0.25">
      <c r="A173" s="330">
        <v>705902</v>
      </c>
      <c r="B173" s="324" t="s">
        <v>245</v>
      </c>
      <c r="C173" s="306" t="s">
        <v>246</v>
      </c>
      <c r="D173" s="8">
        <v>0.02</v>
      </c>
      <c r="E173" s="8">
        <v>0.01</v>
      </c>
      <c r="F173" s="307">
        <v>1.4</v>
      </c>
      <c r="G173" s="312">
        <v>1</v>
      </c>
      <c r="H173" s="312">
        <v>0.01</v>
      </c>
      <c r="I173" s="312" t="s">
        <v>47</v>
      </c>
      <c r="J173" s="312">
        <v>0.5</v>
      </c>
      <c r="K173" s="312">
        <v>0.5</v>
      </c>
      <c r="L173" s="312">
        <v>5</v>
      </c>
      <c r="M173" s="312">
        <v>3276</v>
      </c>
      <c r="N173" s="312" t="s">
        <v>16</v>
      </c>
      <c r="O173" s="325" t="s">
        <v>49</v>
      </c>
      <c r="P173" s="312">
        <v>0.8</v>
      </c>
      <c r="Q173" s="312">
        <f t="shared" ref="Q173" si="75">ROUND(((D173*E173*F173*G173*H173*J173*L173*1000000*K173/3600)*(1-P173)),4)</f>
        <v>2.0000000000000001E-4</v>
      </c>
      <c r="R173" s="312">
        <f t="shared" ref="R173" si="76">ROUND((D173*E173*F173*G173*H173*J173*K173*M173*(1-P173)),4)</f>
        <v>5.0000000000000001E-4</v>
      </c>
    </row>
    <row r="174" spans="1:19" x14ac:dyDescent="0.25">
      <c r="A174" s="1171" t="s">
        <v>260</v>
      </c>
      <c r="B174" s="1210"/>
      <c r="C174" s="1210"/>
      <c r="D174" s="1210"/>
      <c r="E174" s="1210"/>
      <c r="F174" s="1210"/>
      <c r="G174" s="1210"/>
      <c r="H174" s="1210"/>
      <c r="I174" s="1210"/>
      <c r="J174" s="1210"/>
      <c r="K174" s="1210"/>
      <c r="L174" s="1210"/>
      <c r="M174" s="1210"/>
      <c r="N174" s="1210"/>
      <c r="O174" s="1210"/>
      <c r="P174" s="1210"/>
      <c r="Q174" s="1210"/>
      <c r="R174" s="1211"/>
    </row>
    <row r="175" spans="1:19" ht="25.5" x14ac:dyDescent="0.25">
      <c r="A175" s="1209">
        <v>706603</v>
      </c>
      <c r="B175" s="18" t="s">
        <v>243</v>
      </c>
      <c r="C175" s="17" t="s">
        <v>17</v>
      </c>
      <c r="D175" s="8">
        <v>0.05</v>
      </c>
      <c r="E175" s="8">
        <v>0.03</v>
      </c>
      <c r="F175" s="18">
        <v>1.4</v>
      </c>
      <c r="G175" s="8">
        <v>1</v>
      </c>
      <c r="H175" s="8">
        <v>0.01</v>
      </c>
      <c r="I175" s="8" t="s">
        <v>47</v>
      </c>
      <c r="J175" s="8">
        <v>0.5</v>
      </c>
      <c r="K175" s="8">
        <v>0.5</v>
      </c>
      <c r="L175" s="8">
        <v>2</v>
      </c>
      <c r="M175" s="8">
        <v>32</v>
      </c>
      <c r="N175" s="8" t="s">
        <v>16</v>
      </c>
      <c r="O175" s="19" t="s">
        <v>49</v>
      </c>
      <c r="P175" s="8">
        <v>0</v>
      </c>
      <c r="Q175" s="8">
        <f t="shared" ref="Q175:Q176" si="77">ROUND(((D175*E175*F175*G175*H175*J175*L175*1000000*K175/3600)*(1-P175)),4)</f>
        <v>2.8999999999999998E-3</v>
      </c>
      <c r="R175" s="8">
        <f t="shared" ref="R175" si="78">ROUND((D175*E175*F175*G175*H175*J175*K175*M175*(1-P175)),4)</f>
        <v>2.0000000000000001E-4</v>
      </c>
    </row>
    <row r="176" spans="1:19" ht="25.5" x14ac:dyDescent="0.25">
      <c r="A176" s="1195"/>
      <c r="B176" s="20" t="s">
        <v>259</v>
      </c>
      <c r="C176" s="17" t="s">
        <v>17</v>
      </c>
      <c r="D176" s="8">
        <v>0.05</v>
      </c>
      <c r="E176" s="8">
        <v>0.03</v>
      </c>
      <c r="F176" s="18">
        <v>1.4</v>
      </c>
      <c r="G176" s="8">
        <v>1</v>
      </c>
      <c r="H176" s="8">
        <v>0.01</v>
      </c>
      <c r="I176" s="8" t="s">
        <v>47</v>
      </c>
      <c r="J176" s="8">
        <v>0.5</v>
      </c>
      <c r="K176" s="8">
        <v>0.5</v>
      </c>
      <c r="L176" s="8">
        <v>2</v>
      </c>
      <c r="M176" s="8">
        <v>13</v>
      </c>
      <c r="N176" s="8" t="s">
        <v>16</v>
      </c>
      <c r="O176" s="19" t="s">
        <v>49</v>
      </c>
      <c r="P176" s="8">
        <v>0</v>
      </c>
      <c r="Q176" s="8">
        <f t="shared" si="77"/>
        <v>2.8999999999999998E-3</v>
      </c>
      <c r="R176" s="8">
        <f>ROUND((D176*E176*F176*G176*H176*J176*K176*M176*(1-P176)),5)</f>
        <v>6.9999999999999994E-5</v>
      </c>
    </row>
    <row r="177" spans="1:20" ht="51" x14ac:dyDescent="0.25">
      <c r="A177" s="1195"/>
      <c r="B177" s="20" t="s">
        <v>1039</v>
      </c>
      <c r="C177" s="17" t="s">
        <v>17</v>
      </c>
      <c r="D177" s="8">
        <v>0.05</v>
      </c>
      <c r="E177" s="8">
        <v>0.03</v>
      </c>
      <c r="F177" s="18">
        <v>1.4</v>
      </c>
      <c r="G177" s="8">
        <v>1</v>
      </c>
      <c r="H177" s="8">
        <v>0.01</v>
      </c>
      <c r="I177" s="8" t="s">
        <v>47</v>
      </c>
      <c r="J177" s="8">
        <v>0.5</v>
      </c>
      <c r="K177" s="8">
        <v>0.5</v>
      </c>
      <c r="L177" s="8">
        <v>30</v>
      </c>
      <c r="M177" s="8">
        <v>14805</v>
      </c>
      <c r="N177" s="8" t="s">
        <v>16</v>
      </c>
      <c r="O177" s="19" t="s">
        <v>49</v>
      </c>
      <c r="P177" s="8">
        <v>0</v>
      </c>
      <c r="Q177" s="8">
        <f t="shared" ref="Q177" si="79">ROUND(((D177*E177*F177*G177*H177*J177*L177*1000000*K177/3600)*(1-P177)),4)</f>
        <v>4.3799999999999999E-2</v>
      </c>
      <c r="R177" s="8">
        <f>ROUND((D177*E177*F177*G177*H177*J177*K177*M177*(1-P177)),4)</f>
        <v>7.7700000000000005E-2</v>
      </c>
    </row>
    <row r="178" spans="1:20" ht="63.75" x14ac:dyDescent="0.25">
      <c r="A178" s="1195"/>
      <c r="B178" s="324" t="s">
        <v>1043</v>
      </c>
      <c r="C178" s="306" t="s">
        <v>17</v>
      </c>
      <c r="D178" s="312">
        <v>0.05</v>
      </c>
      <c r="E178" s="312">
        <v>0.03</v>
      </c>
      <c r="F178" s="307">
        <v>1.4</v>
      </c>
      <c r="G178" s="312">
        <v>1</v>
      </c>
      <c r="H178" s="312">
        <v>0.01</v>
      </c>
      <c r="I178" s="312" t="s">
        <v>47</v>
      </c>
      <c r="J178" s="312">
        <v>0.5</v>
      </c>
      <c r="K178" s="312">
        <v>0.5</v>
      </c>
      <c r="L178" s="312">
        <v>35</v>
      </c>
      <c r="M178" s="312">
        <v>18883</v>
      </c>
      <c r="N178" s="312" t="s">
        <v>16</v>
      </c>
      <c r="O178" s="325" t="s">
        <v>49</v>
      </c>
      <c r="P178" s="312">
        <v>0</v>
      </c>
      <c r="Q178" s="312">
        <f t="shared" ref="Q178" si="80">ROUND(((D178*E178*F178*G178*H178*J178*L178*1000000*K178/3600)*(1-P178)),4)</f>
        <v>5.0999999999999997E-2</v>
      </c>
      <c r="R178" s="312">
        <f>ROUND((D178*E178*F178*G178*H178*J178*K178*M178*(1-P178)),4)</f>
        <v>9.9099999999999994E-2</v>
      </c>
    </row>
    <row r="179" spans="1:20" ht="38.25" x14ac:dyDescent="0.25">
      <c r="A179" s="1218"/>
      <c r="B179" s="18" t="s">
        <v>1044</v>
      </c>
      <c r="C179" s="17" t="s">
        <v>17</v>
      </c>
      <c r="D179" s="8">
        <v>0.05</v>
      </c>
      <c r="E179" s="8">
        <v>0.03</v>
      </c>
      <c r="F179" s="18">
        <v>1.4</v>
      </c>
      <c r="G179" s="8">
        <v>1</v>
      </c>
      <c r="H179" s="8">
        <v>0.01</v>
      </c>
      <c r="I179" s="8" t="s">
        <v>47</v>
      </c>
      <c r="J179" s="8">
        <v>0.5</v>
      </c>
      <c r="K179" s="8">
        <v>0.5</v>
      </c>
      <c r="L179" s="8">
        <v>5</v>
      </c>
      <c r="M179" s="8">
        <f>(1665)*0.1*1.97</f>
        <v>328.005</v>
      </c>
      <c r="N179" s="8" t="s">
        <v>16</v>
      </c>
      <c r="O179" s="19" t="s">
        <v>49</v>
      </c>
      <c r="P179" s="8">
        <v>0</v>
      </c>
      <c r="Q179" s="8">
        <f>ROUND(((D179*E179*F179*G179*H179*J179*L179*1000000*K179/3600)*(1-P179)),4)</f>
        <v>7.3000000000000001E-3</v>
      </c>
      <c r="R179" s="8">
        <f>ROUND((D179*E179*F179*G179*H179*J179*K179*M179*(1-P179)),4)</f>
        <v>1.6999999999999999E-3</v>
      </c>
    </row>
    <row r="180" spans="1:20" ht="25.5" x14ac:dyDescent="0.25">
      <c r="A180" s="1218"/>
      <c r="B180" s="20" t="s">
        <v>1045</v>
      </c>
      <c r="C180" s="17" t="s">
        <v>17</v>
      </c>
      <c r="D180" s="8">
        <v>0.05</v>
      </c>
      <c r="E180" s="8">
        <v>0.03</v>
      </c>
      <c r="F180" s="18">
        <v>1.4</v>
      </c>
      <c r="G180" s="8">
        <v>1</v>
      </c>
      <c r="H180" s="8">
        <v>0.01</v>
      </c>
      <c r="I180" s="8" t="s">
        <v>47</v>
      </c>
      <c r="J180" s="8">
        <v>0.5</v>
      </c>
      <c r="K180" s="8">
        <v>0.5</v>
      </c>
      <c r="L180" s="8">
        <v>5</v>
      </c>
      <c r="M180" s="8">
        <v>1180</v>
      </c>
      <c r="N180" s="8" t="s">
        <v>16</v>
      </c>
      <c r="O180" s="19" t="s">
        <v>49</v>
      </c>
      <c r="P180" s="8">
        <v>0</v>
      </c>
      <c r="Q180" s="8">
        <f t="shared" ref="Q180:Q181" si="81">ROUND(((D180*E180*F180*G180*H180*J180*L180*1000000*K180/3600)*(1-P180)),4)</f>
        <v>7.3000000000000001E-3</v>
      </c>
      <c r="R180" s="8">
        <f t="shared" ref="R180:R181" si="82">ROUND((D180*E180*F180*G180*H180*J180*K180*M180*(1-P180)),4)</f>
        <v>6.1999999999999998E-3</v>
      </c>
    </row>
    <row r="181" spans="1:20" ht="25.5" x14ac:dyDescent="0.25">
      <c r="A181" s="1218"/>
      <c r="B181" s="20" t="s">
        <v>425</v>
      </c>
      <c r="C181" s="17" t="s">
        <v>202</v>
      </c>
      <c r="D181" s="8">
        <v>0.05</v>
      </c>
      <c r="E181" s="8">
        <v>0.03</v>
      </c>
      <c r="F181" s="18">
        <v>1.4</v>
      </c>
      <c r="G181" s="8">
        <v>1</v>
      </c>
      <c r="H181" s="8">
        <v>0.01</v>
      </c>
      <c r="I181" s="8" t="s">
        <v>47</v>
      </c>
      <c r="J181" s="8">
        <v>0.5</v>
      </c>
      <c r="K181" s="8">
        <v>0.5</v>
      </c>
      <c r="L181" s="8">
        <v>5</v>
      </c>
      <c r="M181" s="8">
        <v>1054</v>
      </c>
      <c r="N181" s="8" t="s">
        <v>16</v>
      </c>
      <c r="O181" s="19" t="s">
        <v>49</v>
      </c>
      <c r="P181" s="8">
        <v>0</v>
      </c>
      <c r="Q181" s="8">
        <f t="shared" si="81"/>
        <v>7.3000000000000001E-3</v>
      </c>
      <c r="R181" s="8">
        <f t="shared" si="82"/>
        <v>5.4999999999999997E-3</v>
      </c>
    </row>
    <row r="182" spans="1:20" ht="25.5" x14ac:dyDescent="0.25">
      <c r="A182" s="1219"/>
      <c r="B182" s="20" t="s">
        <v>249</v>
      </c>
      <c r="C182" s="17" t="s">
        <v>17</v>
      </c>
      <c r="D182" s="8">
        <v>0.05</v>
      </c>
      <c r="E182" s="8">
        <v>0.03</v>
      </c>
      <c r="F182" s="18">
        <v>1.4</v>
      </c>
      <c r="G182" s="8">
        <v>1</v>
      </c>
      <c r="H182" s="8">
        <v>0.01</v>
      </c>
      <c r="I182" s="8" t="s">
        <v>47</v>
      </c>
      <c r="J182" s="8">
        <v>0.5</v>
      </c>
      <c r="K182" s="8">
        <v>0.5</v>
      </c>
      <c r="L182" s="8">
        <v>10</v>
      </c>
      <c r="M182" s="8">
        <v>1846</v>
      </c>
      <c r="N182" s="8" t="s">
        <v>16</v>
      </c>
      <c r="O182" s="19" t="s">
        <v>49</v>
      </c>
      <c r="P182" s="8">
        <v>0</v>
      </c>
      <c r="Q182" s="8">
        <f t="shared" ref="Q182" si="83">ROUND(((D182*E182*F182*G182*H182*J182*L182*1000000*K182/3600)*(1-P182)),4)</f>
        <v>1.46E-2</v>
      </c>
      <c r="R182" s="8">
        <f t="shared" ref="R182" si="84">ROUND((D182*E182*F182*G182*H182*J182*K182*M182*(1-P182)),4)</f>
        <v>9.7000000000000003E-3</v>
      </c>
    </row>
    <row r="183" spans="1:20" x14ac:dyDescent="0.25">
      <c r="A183" s="1206" t="s">
        <v>72</v>
      </c>
      <c r="B183" s="1207"/>
      <c r="C183" s="1207"/>
      <c r="D183" s="1207"/>
      <c r="E183" s="1207"/>
      <c r="F183" s="1207"/>
      <c r="G183" s="1207"/>
      <c r="H183" s="1207"/>
      <c r="I183" s="1207"/>
      <c r="J183" s="1207"/>
      <c r="K183" s="1207"/>
      <c r="L183" s="1207"/>
      <c r="M183" s="1207"/>
      <c r="N183" s="1207"/>
      <c r="O183" s="1207"/>
      <c r="P183" s="1207"/>
      <c r="Q183" s="1207"/>
      <c r="R183" s="1208"/>
    </row>
    <row r="184" spans="1:20" ht="25.5" x14ac:dyDescent="0.25">
      <c r="A184" s="1136" t="s">
        <v>456</v>
      </c>
      <c r="B184" s="1137"/>
      <c r="C184" s="1137"/>
      <c r="D184" s="1137"/>
      <c r="E184" s="1137"/>
      <c r="F184" s="1137"/>
      <c r="G184" s="1137"/>
      <c r="H184" s="1137"/>
      <c r="I184" s="1137"/>
      <c r="J184" s="1137"/>
      <c r="K184" s="1137"/>
      <c r="L184" s="1137"/>
      <c r="M184" s="1138"/>
      <c r="N184" s="194" t="s">
        <v>16</v>
      </c>
      <c r="O184" s="225" t="s">
        <v>49</v>
      </c>
      <c r="P184" s="8"/>
      <c r="Q184" s="194">
        <f>MAX(Q175,Q176,Q177,Q178,Q179,Q180,Q182,Q181)</f>
        <v>5.0999999999999997E-2</v>
      </c>
      <c r="R184" s="194">
        <f>R175+R176+R177+R178+R179+R180+R182+R181</f>
        <v>0.20017000000000001</v>
      </c>
    </row>
    <row r="185" spans="1:20" x14ac:dyDescent="0.25">
      <c r="A185" s="1171" t="s">
        <v>264</v>
      </c>
      <c r="B185" s="1210"/>
      <c r="C185" s="1210"/>
      <c r="D185" s="1210"/>
      <c r="E185" s="1210"/>
      <c r="F185" s="1210"/>
      <c r="G185" s="1210"/>
      <c r="H185" s="1210"/>
      <c r="I185" s="1210"/>
      <c r="J185" s="1210"/>
      <c r="K185" s="1210"/>
      <c r="L185" s="1210"/>
      <c r="M185" s="1210"/>
      <c r="N185" s="1210"/>
      <c r="O185" s="1210"/>
      <c r="P185" s="1210"/>
      <c r="Q185" s="1210"/>
      <c r="R185" s="1211"/>
    </row>
    <row r="186" spans="1:20" ht="25.5" x14ac:dyDescent="0.25">
      <c r="A186" s="1209">
        <v>707703</v>
      </c>
      <c r="B186" s="18" t="s">
        <v>70</v>
      </c>
      <c r="C186" s="17" t="s">
        <v>17</v>
      </c>
      <c r="D186" s="8">
        <v>0.05</v>
      </c>
      <c r="E186" s="8">
        <v>0.03</v>
      </c>
      <c r="F186" s="18">
        <v>1.4</v>
      </c>
      <c r="G186" s="8">
        <v>1</v>
      </c>
      <c r="H186" s="8">
        <v>0.01</v>
      </c>
      <c r="I186" s="8" t="s">
        <v>47</v>
      </c>
      <c r="J186" s="8">
        <v>0.5</v>
      </c>
      <c r="K186" s="8">
        <v>0.5</v>
      </c>
      <c r="L186" s="8">
        <v>20</v>
      </c>
      <c r="M186" s="8">
        <v>17466</v>
      </c>
      <c r="N186" s="8" t="s">
        <v>16</v>
      </c>
      <c r="O186" s="19" t="s">
        <v>49</v>
      </c>
      <c r="P186" s="8">
        <v>0</v>
      </c>
      <c r="Q186" s="8">
        <f t="shared" ref="Q186:Q188" si="85">ROUND(((D186*E186*F186*G186*H186*J186*L186*1000000*K186/3600)*(1-P186)),4)</f>
        <v>2.92E-2</v>
      </c>
      <c r="R186" s="8">
        <f t="shared" ref="R186:R187" si="86">ROUND((D186*E186*F186*G186*H186*J186*K186*M186*(1-P186)),4)</f>
        <v>9.1700000000000004E-2</v>
      </c>
    </row>
    <row r="187" spans="1:20" ht="25.5" x14ac:dyDescent="0.25">
      <c r="A187" s="1240"/>
      <c r="B187" s="18" t="s">
        <v>268</v>
      </c>
      <c r="C187" s="17" t="s">
        <v>17</v>
      </c>
      <c r="D187" s="8">
        <v>0.05</v>
      </c>
      <c r="E187" s="8">
        <v>0.03</v>
      </c>
      <c r="F187" s="18">
        <v>1.4</v>
      </c>
      <c r="G187" s="8">
        <v>1</v>
      </c>
      <c r="H187" s="8">
        <v>0.01</v>
      </c>
      <c r="I187" s="8" t="s">
        <v>47</v>
      </c>
      <c r="J187" s="8">
        <v>0.5</v>
      </c>
      <c r="K187" s="8">
        <v>0.5</v>
      </c>
      <c r="L187" s="8">
        <v>5</v>
      </c>
      <c r="M187" s="8">
        <v>238</v>
      </c>
      <c r="N187" s="8" t="s">
        <v>16</v>
      </c>
      <c r="O187" s="19" t="s">
        <v>49</v>
      </c>
      <c r="P187" s="8">
        <v>0</v>
      </c>
      <c r="Q187" s="8">
        <f t="shared" si="85"/>
        <v>7.3000000000000001E-3</v>
      </c>
      <c r="R187" s="8">
        <f t="shared" si="86"/>
        <v>1.1999999999999999E-3</v>
      </c>
      <c r="S187" s="50"/>
      <c r="T187" s="50"/>
    </row>
    <row r="188" spans="1:20" ht="38.25" x14ac:dyDescent="0.25">
      <c r="A188" s="1240"/>
      <c r="B188" s="20" t="s">
        <v>245</v>
      </c>
      <c r="C188" s="17" t="s">
        <v>246</v>
      </c>
      <c r="D188" s="8">
        <v>0.02</v>
      </c>
      <c r="E188" s="8">
        <v>0.01</v>
      </c>
      <c r="F188" s="18">
        <v>1.4</v>
      </c>
      <c r="G188" s="8">
        <v>1</v>
      </c>
      <c r="H188" s="8">
        <v>0.01</v>
      </c>
      <c r="I188" s="8" t="s">
        <v>47</v>
      </c>
      <c r="J188" s="8">
        <v>0.5</v>
      </c>
      <c r="K188" s="8">
        <v>0.5</v>
      </c>
      <c r="L188" s="8">
        <v>5</v>
      </c>
      <c r="M188" s="8">
        <v>131</v>
      </c>
      <c r="N188" s="8" t="s">
        <v>16</v>
      </c>
      <c r="O188" s="19" t="s">
        <v>49</v>
      </c>
      <c r="P188" s="8">
        <v>0.8</v>
      </c>
      <c r="Q188" s="8">
        <f t="shared" si="85"/>
        <v>2.0000000000000001E-4</v>
      </c>
      <c r="R188" s="8">
        <f>ROUND((D188*E188*F188*G188*H188*J188*K188*M188*(1-P188)),6)</f>
        <v>1.8E-5</v>
      </c>
      <c r="S188" s="50"/>
      <c r="T188" s="50"/>
    </row>
    <row r="189" spans="1:20" ht="25.5" x14ac:dyDescent="0.25">
      <c r="A189" s="1241"/>
      <c r="B189" s="18" t="s">
        <v>265</v>
      </c>
      <c r="C189" s="17" t="s">
        <v>17</v>
      </c>
      <c r="D189" s="8">
        <v>0.05</v>
      </c>
      <c r="E189" s="8">
        <v>0.03</v>
      </c>
      <c r="F189" s="18">
        <v>1.4</v>
      </c>
      <c r="G189" s="8">
        <v>1</v>
      </c>
      <c r="H189" s="8">
        <v>0.01</v>
      </c>
      <c r="I189" s="8" t="s">
        <v>47</v>
      </c>
      <c r="J189" s="8">
        <v>0.5</v>
      </c>
      <c r="K189" s="8">
        <v>0.5</v>
      </c>
      <c r="L189" s="8">
        <v>5</v>
      </c>
      <c r="M189" s="8">
        <v>106</v>
      </c>
      <c r="N189" s="8" t="s">
        <v>16</v>
      </c>
      <c r="O189" s="19" t="s">
        <v>49</v>
      </c>
      <c r="P189" s="8">
        <v>0</v>
      </c>
      <c r="Q189" s="8">
        <f t="shared" ref="Q189" si="87">ROUND(((D189*E189*F189*G189*H189*J189*L189*1000000*K189/3600)*(1-P189)),4)</f>
        <v>7.3000000000000001E-3</v>
      </c>
      <c r="R189" s="8">
        <f t="shared" ref="R189" si="88">ROUND((D189*E189*F189*G189*H189*J189*K189*M189*(1-P189)),4)</f>
        <v>5.9999999999999995E-4</v>
      </c>
      <c r="S189" s="50"/>
      <c r="T189" s="50"/>
    </row>
    <row r="190" spans="1:20" x14ac:dyDescent="0.25">
      <c r="A190" s="1206" t="s">
        <v>72</v>
      </c>
      <c r="B190" s="1207"/>
      <c r="C190" s="1207"/>
      <c r="D190" s="1207"/>
      <c r="E190" s="1207"/>
      <c r="F190" s="1207"/>
      <c r="G190" s="1207"/>
      <c r="H190" s="1207"/>
      <c r="I190" s="1207"/>
      <c r="J190" s="1207"/>
      <c r="K190" s="1207"/>
      <c r="L190" s="1207"/>
      <c r="M190" s="1207"/>
      <c r="N190" s="1207"/>
      <c r="O190" s="1207"/>
      <c r="P190" s="1207"/>
      <c r="Q190" s="1207"/>
      <c r="R190" s="1208"/>
      <c r="S190" s="50"/>
      <c r="T190" s="50"/>
    </row>
    <row r="191" spans="1:20" ht="25.5" x14ac:dyDescent="0.25">
      <c r="A191" s="1136" t="s">
        <v>472</v>
      </c>
      <c r="B191" s="1137"/>
      <c r="C191" s="1137"/>
      <c r="D191" s="1137"/>
      <c r="E191" s="1137"/>
      <c r="F191" s="1137"/>
      <c r="G191" s="1137"/>
      <c r="H191" s="1137"/>
      <c r="I191" s="1137"/>
      <c r="J191" s="1137"/>
      <c r="K191" s="1137"/>
      <c r="L191" s="1137"/>
      <c r="M191" s="1138"/>
      <c r="N191" s="194" t="s">
        <v>16</v>
      </c>
      <c r="O191" s="225" t="s">
        <v>49</v>
      </c>
      <c r="P191" s="8"/>
      <c r="Q191" s="194">
        <f>MAX(Q186,Q187,Q188,Q189)</f>
        <v>2.92E-2</v>
      </c>
      <c r="R191" s="194">
        <f>R186+R187+R188+R189</f>
        <v>9.3518000000000018E-2</v>
      </c>
      <c r="S191" s="50"/>
      <c r="T191" s="50"/>
    </row>
    <row r="192" spans="1:20" x14ac:dyDescent="0.25">
      <c r="A192" s="1171" t="s">
        <v>276</v>
      </c>
      <c r="B192" s="1210"/>
      <c r="C192" s="1210"/>
      <c r="D192" s="1210"/>
      <c r="E192" s="1210"/>
      <c r="F192" s="1210"/>
      <c r="G192" s="1210"/>
      <c r="H192" s="1210"/>
      <c r="I192" s="1210"/>
      <c r="J192" s="1210"/>
      <c r="K192" s="1210"/>
      <c r="L192" s="1210"/>
      <c r="M192" s="1210"/>
      <c r="N192" s="1210"/>
      <c r="O192" s="1210"/>
      <c r="P192" s="1210"/>
      <c r="Q192" s="1210"/>
      <c r="R192" s="1211"/>
    </row>
    <row r="193" spans="1:24" ht="38.25" x14ac:dyDescent="0.25">
      <c r="A193" s="1192">
        <v>708403</v>
      </c>
      <c r="B193" s="20" t="s">
        <v>245</v>
      </c>
      <c r="C193" s="17" t="s">
        <v>246</v>
      </c>
      <c r="D193" s="8">
        <v>0.02</v>
      </c>
      <c r="E193" s="8">
        <v>0.01</v>
      </c>
      <c r="F193" s="18">
        <v>1.4</v>
      </c>
      <c r="G193" s="8">
        <v>1</v>
      </c>
      <c r="H193" s="8">
        <v>0.01</v>
      </c>
      <c r="I193" s="8" t="s">
        <v>47</v>
      </c>
      <c r="J193" s="8">
        <v>0.5</v>
      </c>
      <c r="K193" s="8">
        <v>0.5</v>
      </c>
      <c r="L193" s="8">
        <v>2</v>
      </c>
      <c r="M193" s="8">
        <v>30</v>
      </c>
      <c r="N193" s="8" t="s">
        <v>16</v>
      </c>
      <c r="O193" s="19" t="s">
        <v>49</v>
      </c>
      <c r="P193" s="8">
        <v>0.8</v>
      </c>
      <c r="Q193" s="8">
        <f t="shared" ref="Q193:Q195" si="89">ROUND(((D193*E193*F193*G193*H193*J193*L193*1000000*K193/3600)*(1-P193)),4)</f>
        <v>1E-4</v>
      </c>
      <c r="R193" s="8">
        <f>ROUND((D193*E193*F193*G193*H193*J193*K193*M193*(1-P193)),6)</f>
        <v>3.9999999999999998E-6</v>
      </c>
    </row>
    <row r="194" spans="1:24" ht="25.5" x14ac:dyDescent="0.25">
      <c r="A194" s="1238"/>
      <c r="B194" s="18" t="s">
        <v>70</v>
      </c>
      <c r="C194" s="17" t="s">
        <v>17</v>
      </c>
      <c r="D194" s="8">
        <v>0.05</v>
      </c>
      <c r="E194" s="8">
        <v>0.03</v>
      </c>
      <c r="F194" s="18">
        <v>1.4</v>
      </c>
      <c r="G194" s="8">
        <v>1</v>
      </c>
      <c r="H194" s="8">
        <v>0.01</v>
      </c>
      <c r="I194" s="8" t="s">
        <v>47</v>
      </c>
      <c r="J194" s="8">
        <v>0.5</v>
      </c>
      <c r="K194" s="8">
        <v>0.5</v>
      </c>
      <c r="L194" s="8">
        <v>10</v>
      </c>
      <c r="M194" s="8">
        <v>251</v>
      </c>
      <c r="N194" s="8" t="s">
        <v>16</v>
      </c>
      <c r="O194" s="19" t="s">
        <v>49</v>
      </c>
      <c r="P194" s="8">
        <v>0</v>
      </c>
      <c r="Q194" s="8">
        <f t="shared" si="89"/>
        <v>1.46E-2</v>
      </c>
      <c r="R194" s="8">
        <f t="shared" ref="R194:R195" si="90">ROUND((D194*E194*F194*G194*H194*J194*K194*M194*(1-P194)),4)</f>
        <v>1.2999999999999999E-3</v>
      </c>
    </row>
    <row r="195" spans="1:24" ht="25.5" x14ac:dyDescent="0.25">
      <c r="A195" s="1238"/>
      <c r="B195" s="18" t="s">
        <v>278</v>
      </c>
      <c r="C195" s="17" t="s">
        <v>17</v>
      </c>
      <c r="D195" s="8">
        <v>0.05</v>
      </c>
      <c r="E195" s="8">
        <v>0.03</v>
      </c>
      <c r="F195" s="18">
        <v>1.4</v>
      </c>
      <c r="G195" s="8">
        <v>1</v>
      </c>
      <c r="H195" s="8">
        <v>0.01</v>
      </c>
      <c r="I195" s="8" t="s">
        <v>47</v>
      </c>
      <c r="J195" s="8">
        <v>0.5</v>
      </c>
      <c r="K195" s="8">
        <v>0.5</v>
      </c>
      <c r="L195" s="8">
        <v>30</v>
      </c>
      <c r="M195" s="8">
        <v>36721</v>
      </c>
      <c r="N195" s="8" t="s">
        <v>16</v>
      </c>
      <c r="O195" s="19" t="s">
        <v>49</v>
      </c>
      <c r="P195" s="8">
        <v>0</v>
      </c>
      <c r="Q195" s="8">
        <f t="shared" si="89"/>
        <v>4.3799999999999999E-2</v>
      </c>
      <c r="R195" s="8">
        <f t="shared" si="90"/>
        <v>0.1928</v>
      </c>
    </row>
    <row r="196" spans="1:24" ht="51" x14ac:dyDescent="0.25">
      <c r="A196" s="1238"/>
      <c r="B196" s="18" t="s">
        <v>1049</v>
      </c>
      <c r="C196" s="17" t="s">
        <v>17</v>
      </c>
      <c r="D196" s="8">
        <v>0.05</v>
      </c>
      <c r="E196" s="8">
        <v>0.03</v>
      </c>
      <c r="F196" s="18">
        <v>1.4</v>
      </c>
      <c r="G196" s="8">
        <v>1</v>
      </c>
      <c r="H196" s="8">
        <v>0.01</v>
      </c>
      <c r="I196" s="8" t="s">
        <v>47</v>
      </c>
      <c r="J196" s="8">
        <v>0.5</v>
      </c>
      <c r="K196" s="8">
        <v>0.5</v>
      </c>
      <c r="L196" s="8">
        <v>5</v>
      </c>
      <c r="M196" s="8">
        <f>(4920*0.1*1.97)</f>
        <v>969.24</v>
      </c>
      <c r="N196" s="8" t="s">
        <v>16</v>
      </c>
      <c r="O196" s="19" t="s">
        <v>49</v>
      </c>
      <c r="P196" s="8">
        <v>0</v>
      </c>
      <c r="Q196" s="8">
        <f>ROUND(((D196*E196*F196*G196*H196*J196*L196*1000000*K196/3600)*(1-P196)),4)</f>
        <v>7.3000000000000001E-3</v>
      </c>
      <c r="R196" s="8">
        <f>ROUND((D196*E196*F196*G196*H196*J196*K196*M196*(1-P196)),4)</f>
        <v>5.1000000000000004E-3</v>
      </c>
      <c r="S196" s="50"/>
      <c r="T196" s="50"/>
      <c r="U196" s="50"/>
      <c r="V196" s="50"/>
      <c r="W196" s="50"/>
      <c r="X196" s="50"/>
    </row>
    <row r="197" spans="1:24" ht="51" x14ac:dyDescent="0.25">
      <c r="A197" s="1238"/>
      <c r="B197" s="8" t="s">
        <v>1082</v>
      </c>
      <c r="C197" s="17" t="s">
        <v>1080</v>
      </c>
      <c r="D197" s="8">
        <v>0.05</v>
      </c>
      <c r="E197" s="8">
        <v>0.02</v>
      </c>
      <c r="F197" s="18">
        <v>1.4</v>
      </c>
      <c r="G197" s="8">
        <v>1</v>
      </c>
      <c r="H197" s="8">
        <v>0.01</v>
      </c>
      <c r="I197" s="8" t="s">
        <v>47</v>
      </c>
      <c r="J197" s="8">
        <v>0.5</v>
      </c>
      <c r="K197" s="8">
        <v>0.5</v>
      </c>
      <c r="L197" s="8">
        <v>10</v>
      </c>
      <c r="M197" s="8">
        <v>9126</v>
      </c>
      <c r="N197" s="8" t="s">
        <v>48</v>
      </c>
      <c r="O197" s="19" t="s">
        <v>49</v>
      </c>
      <c r="P197" s="8">
        <v>0</v>
      </c>
      <c r="Q197" s="8">
        <f t="shared" ref="Q197" si="91">ROUND(((D197*E197*F197*G197*H197*J197*L197*1000000*K197/3600)*(1-P197)),4)</f>
        <v>9.7000000000000003E-3</v>
      </c>
      <c r="R197" s="8">
        <f t="shared" ref="R197" si="92">ROUND((D197*E197*F197*G197*H197*J197*K197*M197*(1-P197)),4)</f>
        <v>3.1899999999999998E-2</v>
      </c>
      <c r="X197" s="50"/>
    </row>
    <row r="198" spans="1:24" ht="38.25" x14ac:dyDescent="0.25">
      <c r="A198" s="1238"/>
      <c r="B198" s="18" t="s">
        <v>279</v>
      </c>
      <c r="C198" s="17" t="s">
        <v>17</v>
      </c>
      <c r="D198" s="8">
        <v>0.05</v>
      </c>
      <c r="E198" s="8">
        <v>0.03</v>
      </c>
      <c r="F198" s="18">
        <v>1.4</v>
      </c>
      <c r="G198" s="8">
        <v>1</v>
      </c>
      <c r="H198" s="8">
        <v>0.01</v>
      </c>
      <c r="I198" s="8" t="s">
        <v>47</v>
      </c>
      <c r="J198" s="8">
        <v>0.5</v>
      </c>
      <c r="K198" s="8">
        <v>0.5</v>
      </c>
      <c r="L198" s="8">
        <v>5</v>
      </c>
      <c r="M198" s="8">
        <v>1182</v>
      </c>
      <c r="N198" s="8" t="s">
        <v>16</v>
      </c>
      <c r="O198" s="19" t="s">
        <v>49</v>
      </c>
      <c r="P198" s="8">
        <v>0</v>
      </c>
      <c r="Q198" s="8">
        <f t="shared" ref="Q198" si="93">ROUND(((D198*E198*F198*G198*H198*J198*L198*1000000*K198/3600)*(1-P198)),4)</f>
        <v>7.3000000000000001E-3</v>
      </c>
      <c r="R198" s="8">
        <f t="shared" ref="R198" si="94">ROUND((D198*E198*F198*G198*H198*J198*K198*M198*(1-P198)),4)</f>
        <v>6.1999999999999998E-3</v>
      </c>
    </row>
    <row r="199" spans="1:24" ht="38.25" x14ac:dyDescent="0.25">
      <c r="A199" s="1238"/>
      <c r="B199" s="18" t="s">
        <v>281</v>
      </c>
      <c r="C199" s="17" t="s">
        <v>17</v>
      </c>
      <c r="D199" s="8">
        <v>0.05</v>
      </c>
      <c r="E199" s="8">
        <v>0.03</v>
      </c>
      <c r="F199" s="18">
        <v>1.4</v>
      </c>
      <c r="G199" s="8">
        <v>1</v>
      </c>
      <c r="H199" s="8">
        <v>0.01</v>
      </c>
      <c r="I199" s="8" t="s">
        <v>47</v>
      </c>
      <c r="J199" s="8">
        <v>0.5</v>
      </c>
      <c r="K199" s="8">
        <v>0.5</v>
      </c>
      <c r="L199" s="8">
        <v>10</v>
      </c>
      <c r="M199" s="8">
        <v>4176</v>
      </c>
      <c r="N199" s="8" t="s">
        <v>16</v>
      </c>
      <c r="O199" s="19" t="s">
        <v>49</v>
      </c>
      <c r="P199" s="8">
        <v>0</v>
      </c>
      <c r="Q199" s="8">
        <f t="shared" ref="Q199:Q200" si="95">ROUND(((D199*E199*F199*G199*H199*J199*L199*1000000*K199/3600)*(1-P199)),4)</f>
        <v>1.46E-2</v>
      </c>
      <c r="R199" s="8">
        <f t="shared" ref="R199:R200" si="96">ROUND((D199*E199*F199*G199*H199*J199*K199*M199*(1-P199)),4)</f>
        <v>2.1899999999999999E-2</v>
      </c>
    </row>
    <row r="200" spans="1:24" ht="51" x14ac:dyDescent="0.25">
      <c r="A200" s="1239"/>
      <c r="B200" s="18" t="s">
        <v>282</v>
      </c>
      <c r="C200" s="17" t="s">
        <v>17</v>
      </c>
      <c r="D200" s="8">
        <v>0.02</v>
      </c>
      <c r="E200" s="8">
        <v>0.01</v>
      </c>
      <c r="F200" s="18">
        <v>1.4</v>
      </c>
      <c r="G200" s="8">
        <v>1</v>
      </c>
      <c r="H200" s="8">
        <v>0.01</v>
      </c>
      <c r="I200" s="8" t="s">
        <v>47</v>
      </c>
      <c r="J200" s="8">
        <v>0.4</v>
      </c>
      <c r="K200" s="8">
        <v>0.5</v>
      </c>
      <c r="L200" s="8">
        <v>10</v>
      </c>
      <c r="M200" s="8">
        <v>4480</v>
      </c>
      <c r="N200" s="8" t="s">
        <v>16</v>
      </c>
      <c r="O200" s="19" t="s">
        <v>49</v>
      </c>
      <c r="P200" s="8">
        <v>0</v>
      </c>
      <c r="Q200" s="8">
        <f t="shared" si="95"/>
        <v>1.6000000000000001E-3</v>
      </c>
      <c r="R200" s="8">
        <f t="shared" si="96"/>
        <v>2.5000000000000001E-3</v>
      </c>
    </row>
    <row r="201" spans="1:24" x14ac:dyDescent="0.25">
      <c r="A201" s="1206" t="s">
        <v>72</v>
      </c>
      <c r="B201" s="1207"/>
      <c r="C201" s="1207"/>
      <c r="D201" s="1207"/>
      <c r="E201" s="1207"/>
      <c r="F201" s="1207"/>
      <c r="G201" s="1207"/>
      <c r="H201" s="1207"/>
      <c r="I201" s="1207"/>
      <c r="J201" s="1207"/>
      <c r="K201" s="1207"/>
      <c r="L201" s="1207"/>
      <c r="M201" s="1207"/>
      <c r="N201" s="1207"/>
      <c r="O201" s="1207"/>
      <c r="P201" s="1207"/>
      <c r="Q201" s="1207"/>
      <c r="R201" s="1208"/>
    </row>
    <row r="202" spans="1:24" ht="25.5" x14ac:dyDescent="0.25">
      <c r="A202" s="1136" t="s">
        <v>481</v>
      </c>
      <c r="B202" s="1137"/>
      <c r="C202" s="1137"/>
      <c r="D202" s="1137"/>
      <c r="E202" s="1137"/>
      <c r="F202" s="1137"/>
      <c r="G202" s="1137"/>
      <c r="H202" s="1137"/>
      <c r="I202" s="1137"/>
      <c r="J202" s="1137"/>
      <c r="K202" s="1137"/>
      <c r="L202" s="1137"/>
      <c r="M202" s="1138"/>
      <c r="N202" s="194" t="s">
        <v>16</v>
      </c>
      <c r="O202" s="225" t="s">
        <v>49</v>
      </c>
      <c r="P202" s="8"/>
      <c r="Q202" s="194">
        <f>MAX(Q199,Q200,Q196,Q197,Q193,Q194,Q195,Q198)</f>
        <v>4.3799999999999999E-2</v>
      </c>
      <c r="R202" s="194">
        <f>R199+R196+R200+R193+R194+R195+R198+R197</f>
        <v>0.26170399999999999</v>
      </c>
    </row>
    <row r="203" spans="1:24" x14ac:dyDescent="0.25">
      <c r="A203" s="1171" t="s">
        <v>284</v>
      </c>
      <c r="B203" s="1210"/>
      <c r="C203" s="1210"/>
      <c r="D203" s="1210"/>
      <c r="E203" s="1210"/>
      <c r="F203" s="1210"/>
      <c r="G203" s="1210"/>
      <c r="H203" s="1210"/>
      <c r="I203" s="1210"/>
      <c r="J203" s="1210"/>
      <c r="K203" s="1210"/>
      <c r="L203" s="1210"/>
      <c r="M203" s="1210"/>
      <c r="N203" s="1210"/>
      <c r="O203" s="1210"/>
      <c r="P203" s="1210"/>
      <c r="Q203" s="1210"/>
      <c r="R203" s="1211"/>
    </row>
    <row r="204" spans="1:24" ht="25.5" x14ac:dyDescent="0.25">
      <c r="A204" s="1192">
        <v>708903</v>
      </c>
      <c r="B204" s="18" t="s">
        <v>70</v>
      </c>
      <c r="C204" s="17" t="s">
        <v>202</v>
      </c>
      <c r="D204" s="8">
        <v>0.05</v>
      </c>
      <c r="E204" s="8">
        <v>0.03</v>
      </c>
      <c r="F204" s="18">
        <v>1.4</v>
      </c>
      <c r="G204" s="8">
        <v>1</v>
      </c>
      <c r="H204" s="8">
        <v>0.01</v>
      </c>
      <c r="I204" s="8" t="s">
        <v>47</v>
      </c>
      <c r="J204" s="8">
        <v>0.5</v>
      </c>
      <c r="K204" s="8">
        <v>0.5</v>
      </c>
      <c r="L204" s="8">
        <v>2</v>
      </c>
      <c r="M204" s="8">
        <v>357</v>
      </c>
      <c r="N204" s="8" t="s">
        <v>16</v>
      </c>
      <c r="O204" s="19" t="s">
        <v>49</v>
      </c>
      <c r="P204" s="8">
        <v>0</v>
      </c>
      <c r="Q204" s="8">
        <f t="shared" ref="Q204:Q206" si="97">ROUND(((D204*E204*F204*G204*H204*J204*L204*1000000*K204/3600)*(1-P204)),4)</f>
        <v>2.8999999999999998E-3</v>
      </c>
      <c r="R204" s="8">
        <f>ROUND((D204*E204*F204*G204*H204*J204*K204*M204*(1-P204)),5)</f>
        <v>1.8699999999999999E-3</v>
      </c>
    </row>
    <row r="205" spans="1:24" ht="25.5" x14ac:dyDescent="0.25">
      <c r="A205" s="1238"/>
      <c r="B205" s="18" t="s">
        <v>265</v>
      </c>
      <c r="C205" s="17" t="s">
        <v>17</v>
      </c>
      <c r="D205" s="8">
        <v>0.05</v>
      </c>
      <c r="E205" s="8">
        <v>0.03</v>
      </c>
      <c r="F205" s="18">
        <v>1.4</v>
      </c>
      <c r="G205" s="8">
        <v>1</v>
      </c>
      <c r="H205" s="8">
        <v>0.01</v>
      </c>
      <c r="I205" s="8" t="s">
        <v>47</v>
      </c>
      <c r="J205" s="8">
        <v>0.5</v>
      </c>
      <c r="K205" s="8">
        <v>0.5</v>
      </c>
      <c r="L205" s="8">
        <v>2</v>
      </c>
      <c r="M205" s="8">
        <v>365</v>
      </c>
      <c r="N205" s="8" t="s">
        <v>16</v>
      </c>
      <c r="O205" s="19" t="s">
        <v>49</v>
      </c>
      <c r="P205" s="8">
        <v>0</v>
      </c>
      <c r="Q205" s="8">
        <f t="shared" si="97"/>
        <v>2.8999999999999998E-3</v>
      </c>
      <c r="R205" s="8">
        <f t="shared" ref="R205" si="98">ROUND((D205*E205*F205*G205*H205*J205*K205*M205*(1-P205)),4)</f>
        <v>1.9E-3</v>
      </c>
    </row>
    <row r="206" spans="1:24" ht="38.25" x14ac:dyDescent="0.25">
      <c r="A206" s="1238"/>
      <c r="B206" s="20" t="s">
        <v>50</v>
      </c>
      <c r="C206" s="17" t="s">
        <v>285</v>
      </c>
      <c r="D206" s="8">
        <v>0.02</v>
      </c>
      <c r="E206" s="8">
        <v>0.01</v>
      </c>
      <c r="F206" s="18">
        <v>1.4</v>
      </c>
      <c r="G206" s="8">
        <v>1</v>
      </c>
      <c r="H206" s="8">
        <v>0.01</v>
      </c>
      <c r="I206" s="8" t="s">
        <v>47</v>
      </c>
      <c r="J206" s="8">
        <v>0.5</v>
      </c>
      <c r="K206" s="8">
        <v>0.5</v>
      </c>
      <c r="L206" s="8">
        <v>2</v>
      </c>
      <c r="M206" s="8">
        <v>686</v>
      </c>
      <c r="N206" s="8" t="s">
        <v>16</v>
      </c>
      <c r="O206" s="19" t="s">
        <v>49</v>
      </c>
      <c r="P206" s="8">
        <v>0.8</v>
      </c>
      <c r="Q206" s="8">
        <f t="shared" si="97"/>
        <v>1E-4</v>
      </c>
      <c r="R206" s="8">
        <f>ROUND((D206*E206*F206*G206*H206*J206*K206*M206*(1-P206)),5)</f>
        <v>1E-4</v>
      </c>
    </row>
    <row r="207" spans="1:24" ht="25.5" x14ac:dyDescent="0.25">
      <c r="A207" s="1191"/>
      <c r="B207" s="18" t="s">
        <v>70</v>
      </c>
      <c r="C207" s="17" t="s">
        <v>287</v>
      </c>
      <c r="D207" s="8">
        <v>0.05</v>
      </c>
      <c r="E207" s="8">
        <v>0.03</v>
      </c>
      <c r="F207" s="18">
        <v>1.4</v>
      </c>
      <c r="G207" s="8">
        <v>1</v>
      </c>
      <c r="H207" s="8">
        <v>0.01</v>
      </c>
      <c r="I207" s="8" t="s">
        <v>47</v>
      </c>
      <c r="J207" s="8">
        <v>0.5</v>
      </c>
      <c r="K207" s="8">
        <v>0.5</v>
      </c>
      <c r="L207" s="8">
        <v>2</v>
      </c>
      <c r="M207" s="8">
        <v>8</v>
      </c>
      <c r="N207" s="8" t="s">
        <v>16</v>
      </c>
      <c r="O207" s="19" t="s">
        <v>49</v>
      </c>
      <c r="P207" s="8">
        <v>0</v>
      </c>
      <c r="Q207" s="8">
        <f t="shared" ref="Q207" si="99">ROUND(((D207*E207*F207*G207*H207*J207*L207*1000000*K207/3600)*(1-P207)),4)</f>
        <v>2.8999999999999998E-3</v>
      </c>
      <c r="R207" s="8">
        <f>ROUND((D207*E207*F207*G207*H207*J207*K207*M207*(1-P207)),5)</f>
        <v>4.0000000000000003E-5</v>
      </c>
    </row>
    <row r="208" spans="1:24" x14ac:dyDescent="0.25">
      <c r="A208" s="1206" t="s">
        <v>72</v>
      </c>
      <c r="B208" s="1207"/>
      <c r="C208" s="1207"/>
      <c r="D208" s="1207"/>
      <c r="E208" s="1207"/>
      <c r="F208" s="1207"/>
      <c r="G208" s="1207"/>
      <c r="H208" s="1207"/>
      <c r="I208" s="1207"/>
      <c r="J208" s="1207"/>
      <c r="K208" s="1207"/>
      <c r="L208" s="1207"/>
      <c r="M208" s="1207"/>
      <c r="N208" s="1207"/>
      <c r="O208" s="1207"/>
      <c r="P208" s="1207"/>
      <c r="Q208" s="1207"/>
      <c r="R208" s="1208"/>
    </row>
    <row r="209" spans="1:123" ht="25.5" x14ac:dyDescent="0.25">
      <c r="A209" s="1136" t="s">
        <v>492</v>
      </c>
      <c r="B209" s="1137"/>
      <c r="C209" s="1137"/>
      <c r="D209" s="1137"/>
      <c r="E209" s="1137"/>
      <c r="F209" s="1137"/>
      <c r="G209" s="1137"/>
      <c r="H209" s="1137"/>
      <c r="I209" s="1137"/>
      <c r="J209" s="1137"/>
      <c r="K209" s="1137"/>
      <c r="L209" s="1137"/>
      <c r="M209" s="1138"/>
      <c r="N209" s="194" t="s">
        <v>16</v>
      </c>
      <c r="O209" s="225" t="s">
        <v>49</v>
      </c>
      <c r="P209" s="8"/>
      <c r="Q209" s="194">
        <f>MAX(Q204,Q205,Q206,Q207)</f>
        <v>2.8999999999999998E-3</v>
      </c>
      <c r="R209" s="194">
        <f>R204+R205+R206+R207</f>
        <v>3.9099999999999994E-3</v>
      </c>
    </row>
    <row r="210" spans="1:123" x14ac:dyDescent="0.25">
      <c r="A210" s="1171" t="s">
        <v>288</v>
      </c>
      <c r="B210" s="1210"/>
      <c r="C210" s="1210"/>
      <c r="D210" s="1210"/>
      <c r="E210" s="1210"/>
      <c r="F210" s="1210"/>
      <c r="G210" s="1210"/>
      <c r="H210" s="1210"/>
      <c r="I210" s="1210"/>
      <c r="J210" s="1210"/>
      <c r="K210" s="1210"/>
      <c r="L210" s="1210"/>
      <c r="M210" s="1210"/>
      <c r="N210" s="1210"/>
      <c r="O210" s="1210"/>
      <c r="P210" s="1210"/>
      <c r="Q210" s="1210"/>
      <c r="R210" s="1211"/>
    </row>
    <row r="211" spans="1:123" ht="25.5" x14ac:dyDescent="0.25">
      <c r="A211" s="1225">
        <v>7102</v>
      </c>
      <c r="B211" s="18" t="s">
        <v>289</v>
      </c>
      <c r="C211" s="17" t="s">
        <v>17</v>
      </c>
      <c r="D211" s="8">
        <v>0.05</v>
      </c>
      <c r="E211" s="8">
        <v>0.03</v>
      </c>
      <c r="F211" s="18">
        <v>1.4</v>
      </c>
      <c r="G211" s="8">
        <v>1</v>
      </c>
      <c r="H211" s="8">
        <v>0.01</v>
      </c>
      <c r="I211" s="8" t="s">
        <v>47</v>
      </c>
      <c r="J211" s="8">
        <v>0.5</v>
      </c>
      <c r="K211" s="8">
        <v>0.5</v>
      </c>
      <c r="L211" s="8">
        <v>2</v>
      </c>
      <c r="M211" s="8">
        <v>171</v>
      </c>
      <c r="N211" s="8" t="s">
        <v>16</v>
      </c>
      <c r="O211" s="19" t="s">
        <v>49</v>
      </c>
      <c r="P211" s="8">
        <v>0</v>
      </c>
      <c r="Q211" s="8">
        <f t="shared" ref="Q211:Q213" si="100">ROUND(((D211*E211*F211*G211*H211*J211*L211*1000000*K211/3600)*(1-P211)),4)</f>
        <v>2.8999999999999998E-3</v>
      </c>
      <c r="R211" s="8">
        <f t="shared" ref="R211" si="101">ROUND((D211*E211*F211*G211*H211*J211*K211*M211*(1-P211)),4)</f>
        <v>8.9999999999999998E-4</v>
      </c>
    </row>
    <row r="212" spans="1:123" ht="25.5" x14ac:dyDescent="0.25">
      <c r="A212" s="1226"/>
      <c r="B212" s="18" t="s">
        <v>50</v>
      </c>
      <c r="C212" s="17" t="s">
        <v>202</v>
      </c>
      <c r="D212" s="8">
        <v>0.05</v>
      </c>
      <c r="E212" s="8">
        <v>0.03</v>
      </c>
      <c r="F212" s="18">
        <v>1.4</v>
      </c>
      <c r="G212" s="8">
        <v>1</v>
      </c>
      <c r="H212" s="8">
        <v>0.01</v>
      </c>
      <c r="I212" s="8" t="s">
        <v>47</v>
      </c>
      <c r="J212" s="8">
        <v>0.5</v>
      </c>
      <c r="K212" s="8">
        <v>0.5</v>
      </c>
      <c r="L212" s="8">
        <v>2</v>
      </c>
      <c r="M212" s="8">
        <v>7</v>
      </c>
      <c r="N212" s="8" t="s">
        <v>16</v>
      </c>
      <c r="O212" s="19" t="s">
        <v>49</v>
      </c>
      <c r="P212" s="8">
        <v>0</v>
      </c>
      <c r="Q212" s="8">
        <f t="shared" si="100"/>
        <v>2.8999999999999998E-3</v>
      </c>
      <c r="R212" s="8">
        <f>ROUND((D212*E212*F212*G212*H212*J212*K212*M212*(1-P212)),5)</f>
        <v>4.0000000000000003E-5</v>
      </c>
      <c r="S212" s="50"/>
    </row>
    <row r="213" spans="1:123" ht="38.25" x14ac:dyDescent="0.25">
      <c r="A213" s="1226"/>
      <c r="B213" s="18" t="s">
        <v>342</v>
      </c>
      <c r="C213" s="17" t="s">
        <v>285</v>
      </c>
      <c r="D213" s="8">
        <v>0.02</v>
      </c>
      <c r="E213" s="8">
        <v>0.01</v>
      </c>
      <c r="F213" s="18">
        <v>1.4</v>
      </c>
      <c r="G213" s="8">
        <v>1</v>
      </c>
      <c r="H213" s="8">
        <v>0.01</v>
      </c>
      <c r="I213" s="8" t="s">
        <v>47</v>
      </c>
      <c r="J213" s="8">
        <v>0.5</v>
      </c>
      <c r="K213" s="8">
        <v>0.5</v>
      </c>
      <c r="L213" s="8">
        <v>2</v>
      </c>
      <c r="M213" s="8">
        <v>110</v>
      </c>
      <c r="N213" s="8" t="s">
        <v>16</v>
      </c>
      <c r="O213" s="19" t="s">
        <v>49</v>
      </c>
      <c r="P213" s="8">
        <v>0.8</v>
      </c>
      <c r="Q213" s="8">
        <f t="shared" si="100"/>
        <v>1E-4</v>
      </c>
      <c r="R213" s="8">
        <f>ROUND((D213*E213*F213*G213*H213*J213*K213*M213*(1-P213)),5)</f>
        <v>2.0000000000000002E-5</v>
      </c>
      <c r="S213" s="50"/>
    </row>
    <row r="214" spans="1:123" x14ac:dyDescent="0.25">
      <c r="A214" s="1206" t="s">
        <v>72</v>
      </c>
      <c r="B214" s="1207"/>
      <c r="C214" s="1207"/>
      <c r="D214" s="1207"/>
      <c r="E214" s="1207"/>
      <c r="F214" s="1207"/>
      <c r="G214" s="1207"/>
      <c r="H214" s="1207"/>
      <c r="I214" s="1207"/>
      <c r="J214" s="1207"/>
      <c r="K214" s="1207"/>
      <c r="L214" s="1207"/>
      <c r="M214" s="1207"/>
      <c r="N214" s="1207"/>
      <c r="O214" s="1207"/>
      <c r="P214" s="1207"/>
      <c r="Q214" s="1207"/>
      <c r="R214" s="1208"/>
    </row>
    <row r="215" spans="1:123" ht="25.5" x14ac:dyDescent="0.25">
      <c r="A215" s="1136" t="s">
        <v>1056</v>
      </c>
      <c r="B215" s="1137"/>
      <c r="C215" s="1137"/>
      <c r="D215" s="1137"/>
      <c r="E215" s="1137"/>
      <c r="F215" s="1137"/>
      <c r="G215" s="1137"/>
      <c r="H215" s="1137"/>
      <c r="I215" s="1137"/>
      <c r="J215" s="1137"/>
      <c r="K215" s="1137"/>
      <c r="L215" s="1137"/>
      <c r="M215" s="1138"/>
      <c r="N215" s="194" t="s">
        <v>16</v>
      </c>
      <c r="O215" s="225" t="s">
        <v>49</v>
      </c>
      <c r="P215" s="8"/>
      <c r="Q215" s="194">
        <f>MAX(Q211,Q212,Q213)</f>
        <v>2.8999999999999998E-3</v>
      </c>
      <c r="R215" s="194">
        <f>R211+R212+R213</f>
        <v>9.6000000000000002E-4</v>
      </c>
    </row>
    <row r="216" spans="1:123" x14ac:dyDescent="0.25">
      <c r="A216" s="1171" t="s">
        <v>291</v>
      </c>
      <c r="B216" s="1210"/>
      <c r="C216" s="1210"/>
      <c r="D216" s="1210"/>
      <c r="E216" s="1210"/>
      <c r="F216" s="1210"/>
      <c r="G216" s="1210"/>
      <c r="H216" s="1210"/>
      <c r="I216" s="1210"/>
      <c r="J216" s="1210"/>
      <c r="K216" s="1210"/>
      <c r="L216" s="1210"/>
      <c r="M216" s="1210"/>
      <c r="N216" s="1210"/>
      <c r="O216" s="1210"/>
      <c r="P216" s="1210"/>
      <c r="Q216" s="1210"/>
      <c r="R216" s="1211"/>
    </row>
    <row r="217" spans="1:123" ht="38.25" x14ac:dyDescent="0.25">
      <c r="A217" s="1209">
        <v>7108</v>
      </c>
      <c r="B217" s="20" t="s">
        <v>292</v>
      </c>
      <c r="C217" s="17" t="s">
        <v>293</v>
      </c>
      <c r="D217" s="8">
        <v>0.02</v>
      </c>
      <c r="E217" s="8">
        <v>0.01</v>
      </c>
      <c r="F217" s="18">
        <v>1.4</v>
      </c>
      <c r="G217" s="8">
        <v>1</v>
      </c>
      <c r="H217" s="8">
        <v>0.01</v>
      </c>
      <c r="I217" s="8" t="s">
        <v>47</v>
      </c>
      <c r="J217" s="8">
        <v>0.4</v>
      </c>
      <c r="K217" s="8">
        <v>0.5</v>
      </c>
      <c r="L217" s="8">
        <v>5</v>
      </c>
      <c r="M217" s="8">
        <v>6564</v>
      </c>
      <c r="N217" s="8" t="s">
        <v>16</v>
      </c>
      <c r="O217" s="19" t="s">
        <v>49</v>
      </c>
      <c r="P217" s="8">
        <v>0.8</v>
      </c>
      <c r="Q217" s="8">
        <f>ROUND(((D217*E217*F217*G217*H217*J217*L217*1000000*K217/3600)*(1-P217)),4)</f>
        <v>2.0000000000000001E-4</v>
      </c>
      <c r="R217" s="8">
        <f>ROUND((D217*E217*F217*G217*H217*J217*K217*M217*(1-P217)),4)</f>
        <v>6.9999999999999999E-4</v>
      </c>
    </row>
    <row r="218" spans="1:123" ht="38.25" x14ac:dyDescent="0.25">
      <c r="A218" s="1218"/>
      <c r="B218" s="20" t="s">
        <v>292</v>
      </c>
      <c r="C218" s="17" t="s">
        <v>285</v>
      </c>
      <c r="D218" s="8">
        <v>0.02</v>
      </c>
      <c r="E218" s="8">
        <v>0.01</v>
      </c>
      <c r="F218" s="18">
        <v>1.4</v>
      </c>
      <c r="G218" s="8">
        <v>1</v>
      </c>
      <c r="H218" s="8">
        <v>0.01</v>
      </c>
      <c r="I218" s="8" t="s">
        <v>47</v>
      </c>
      <c r="J218" s="8">
        <v>0.5</v>
      </c>
      <c r="K218" s="8">
        <v>0.5</v>
      </c>
      <c r="L218" s="8">
        <v>5</v>
      </c>
      <c r="M218" s="8">
        <v>3938</v>
      </c>
      <c r="N218" s="8" t="s">
        <v>16</v>
      </c>
      <c r="O218" s="19" t="s">
        <v>49</v>
      </c>
      <c r="P218" s="8">
        <v>0.8</v>
      </c>
      <c r="Q218" s="8">
        <f t="shared" ref="Q218:Q221" si="102">ROUND(((D218*E218*F218*G218*H218*J218*L218*1000000*K218/3600)*(1-P218)),4)</f>
        <v>2.0000000000000001E-4</v>
      </c>
      <c r="R218" s="8">
        <f>ROUND((D218*E218*F218*G218*H218*J218*K218*M218*(1-P218)),4)</f>
        <v>5.9999999999999995E-4</v>
      </c>
    </row>
    <row r="219" spans="1:123" ht="38.25" x14ac:dyDescent="0.25">
      <c r="A219" s="1218"/>
      <c r="B219" s="20" t="s">
        <v>294</v>
      </c>
      <c r="C219" s="17" t="s">
        <v>293</v>
      </c>
      <c r="D219" s="8">
        <v>0.02</v>
      </c>
      <c r="E219" s="8">
        <v>0.01</v>
      </c>
      <c r="F219" s="18">
        <v>1.4</v>
      </c>
      <c r="G219" s="8">
        <v>1</v>
      </c>
      <c r="H219" s="8">
        <v>0.01</v>
      </c>
      <c r="I219" s="8" t="s">
        <v>47</v>
      </c>
      <c r="J219" s="8">
        <v>0.4</v>
      </c>
      <c r="K219" s="8">
        <v>0.5</v>
      </c>
      <c r="L219" s="8">
        <v>5</v>
      </c>
      <c r="M219" s="8">
        <v>49</v>
      </c>
      <c r="N219" s="8" t="s">
        <v>16</v>
      </c>
      <c r="O219" s="19" t="s">
        <v>49</v>
      </c>
      <c r="P219" s="8">
        <v>0.8</v>
      </c>
      <c r="Q219" s="8">
        <f t="shared" si="102"/>
        <v>2.0000000000000001E-4</v>
      </c>
      <c r="R219" s="8">
        <f>ROUND((D219*E219*F219*G219*H219*J219*K219*M219*(1-P219)),5)</f>
        <v>1.0000000000000001E-5</v>
      </c>
    </row>
    <row r="220" spans="1:123" ht="63.75" x14ac:dyDescent="0.25">
      <c r="A220" s="1218"/>
      <c r="B220" s="18" t="s">
        <v>1058</v>
      </c>
      <c r="C220" s="17" t="s">
        <v>17</v>
      </c>
      <c r="D220" s="8">
        <v>0.05</v>
      </c>
      <c r="E220" s="8">
        <v>0.03</v>
      </c>
      <c r="F220" s="18">
        <v>1.4</v>
      </c>
      <c r="G220" s="8">
        <v>1</v>
      </c>
      <c r="H220" s="8">
        <v>0.01</v>
      </c>
      <c r="I220" s="8" t="s">
        <v>47</v>
      </c>
      <c r="J220" s="8">
        <v>0.5</v>
      </c>
      <c r="K220" s="8">
        <v>0.5</v>
      </c>
      <c r="L220" s="8">
        <v>2</v>
      </c>
      <c r="M220" s="8">
        <f>(43.5)*0.1*1.97</f>
        <v>8.5695000000000014</v>
      </c>
      <c r="N220" s="8" t="s">
        <v>16</v>
      </c>
      <c r="O220" s="19" t="s">
        <v>49</v>
      </c>
      <c r="P220" s="8">
        <v>0</v>
      </c>
      <c r="Q220" s="8">
        <f>ROUND(((D220*E220*F220*G220*H220*J220*L220*1000000*K220/3600)*(1-P220)),4)</f>
        <v>2.8999999999999998E-3</v>
      </c>
      <c r="R220" s="8">
        <f>ROUND((D220*E220*F220*G220*H220*J220*K220*M220*(1-P220)),5)</f>
        <v>4.0000000000000003E-5</v>
      </c>
    </row>
    <row r="221" spans="1:123" ht="25.5" x14ac:dyDescent="0.25">
      <c r="A221" s="1218"/>
      <c r="B221" s="18" t="s">
        <v>268</v>
      </c>
      <c r="C221" s="17" t="s">
        <v>17</v>
      </c>
      <c r="D221" s="8">
        <v>0.05</v>
      </c>
      <c r="E221" s="8">
        <v>0.03</v>
      </c>
      <c r="F221" s="18">
        <v>1.4</v>
      </c>
      <c r="G221" s="8">
        <v>1</v>
      </c>
      <c r="H221" s="8">
        <v>0.01</v>
      </c>
      <c r="I221" s="8" t="s">
        <v>47</v>
      </c>
      <c r="J221" s="8">
        <v>0.5</v>
      </c>
      <c r="K221" s="8">
        <v>0.5</v>
      </c>
      <c r="L221" s="8">
        <v>15</v>
      </c>
      <c r="M221" s="8">
        <v>31584</v>
      </c>
      <c r="N221" s="8" t="s">
        <v>16</v>
      </c>
      <c r="O221" s="19" t="s">
        <v>49</v>
      </c>
      <c r="P221" s="8">
        <v>0</v>
      </c>
      <c r="Q221" s="8">
        <f t="shared" si="102"/>
        <v>2.1899999999999999E-2</v>
      </c>
      <c r="R221" s="8">
        <f t="shared" ref="R221" si="103">ROUND((D221*E221*F221*G221*H221*J221*K221*M221*(1-P221)),4)</f>
        <v>0.1658</v>
      </c>
    </row>
    <row r="222" spans="1:123" ht="25.5" x14ac:dyDescent="0.25">
      <c r="A222" s="1219"/>
      <c r="B222" s="18" t="s">
        <v>295</v>
      </c>
      <c r="C222" s="17" t="s">
        <v>17</v>
      </c>
      <c r="D222" s="8">
        <v>0.05</v>
      </c>
      <c r="E222" s="8">
        <v>0.03</v>
      </c>
      <c r="F222" s="18">
        <v>1.4</v>
      </c>
      <c r="G222" s="8">
        <v>1</v>
      </c>
      <c r="H222" s="8">
        <v>0.01</v>
      </c>
      <c r="I222" s="8" t="s">
        <v>47</v>
      </c>
      <c r="J222" s="8">
        <v>0.5</v>
      </c>
      <c r="K222" s="8">
        <v>0.5</v>
      </c>
      <c r="L222" s="8">
        <v>15</v>
      </c>
      <c r="M222" s="8">
        <v>25185</v>
      </c>
      <c r="N222" s="8" t="s">
        <v>16</v>
      </c>
      <c r="O222" s="19" t="s">
        <v>49</v>
      </c>
      <c r="P222" s="8">
        <v>0</v>
      </c>
      <c r="Q222" s="8">
        <f t="shared" ref="Q222" si="104">ROUND(((D222*E222*F222*G222*H222*J222*L222*1000000*K222/3600)*(1-P222)),4)</f>
        <v>2.1899999999999999E-2</v>
      </c>
      <c r="R222" s="8">
        <f t="shared" ref="R222" si="105">ROUND((D222*E222*F222*G222*H222*J222*K222*M222*(1-P222)),4)</f>
        <v>0.13220000000000001</v>
      </c>
    </row>
    <row r="223" spans="1:123" x14ac:dyDescent="0.25">
      <c r="A223" s="1206" t="s">
        <v>72</v>
      </c>
      <c r="B223" s="1207"/>
      <c r="C223" s="1207"/>
      <c r="D223" s="1207"/>
      <c r="E223" s="1207"/>
      <c r="F223" s="1207"/>
      <c r="G223" s="1207"/>
      <c r="H223" s="1207"/>
      <c r="I223" s="1207"/>
      <c r="J223" s="1207"/>
      <c r="K223" s="1207"/>
      <c r="L223" s="1207"/>
      <c r="M223" s="1207"/>
      <c r="N223" s="1207"/>
      <c r="O223" s="1207"/>
      <c r="P223" s="1207"/>
      <c r="Q223" s="1207"/>
      <c r="R223" s="1208"/>
    </row>
    <row r="224" spans="1:123" s="26" customFormat="1" ht="25.5" x14ac:dyDescent="0.25">
      <c r="A224" s="1136" t="s">
        <v>501</v>
      </c>
      <c r="B224" s="1137"/>
      <c r="C224" s="1137"/>
      <c r="D224" s="1137"/>
      <c r="E224" s="1137"/>
      <c r="F224" s="1137"/>
      <c r="G224" s="1137"/>
      <c r="H224" s="1137"/>
      <c r="I224" s="1137"/>
      <c r="J224" s="1137"/>
      <c r="K224" s="1137"/>
      <c r="L224" s="1137"/>
      <c r="M224" s="1138"/>
      <c r="N224" s="194" t="s">
        <v>16</v>
      </c>
      <c r="O224" s="225" t="s">
        <v>49</v>
      </c>
      <c r="P224" s="8"/>
      <c r="Q224" s="194">
        <f>MAX(Q217,Q218,Q219,Q221,Q222,Q220)</f>
        <v>2.1899999999999999E-2</v>
      </c>
      <c r="R224" s="194">
        <f>R220+R217+R218+R219+R221+R222</f>
        <v>0.29935</v>
      </c>
      <c r="S224" s="849">
        <f>Q142+Q147+Q152+Q157+Q159+Q161+Q166+Q171+Q173+Q184+Q191+Q202+Q209+Q215+Q224</f>
        <v>0.4365</v>
      </c>
      <c r="T224" s="849">
        <f>R142+R147+R152+R157+R159+R161+R166+R171+R173+R184+R191+R202+R209+R215+R224</f>
        <v>4.1119130000000013</v>
      </c>
      <c r="U224" s="849">
        <v>2027</v>
      </c>
      <c r="V224" s="48"/>
      <c r="W224" s="48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7"/>
      <c r="AY224" s="47"/>
      <c r="AZ224" s="47"/>
      <c r="BA224" s="47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7"/>
      <c r="BM224" s="47"/>
      <c r="BN224" s="47"/>
      <c r="BO224" s="47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7"/>
      <c r="CA224" s="47"/>
      <c r="CB224" s="47"/>
      <c r="CC224" s="47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7"/>
      <c r="CO224" s="47"/>
      <c r="CP224" s="47"/>
      <c r="CQ224" s="47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7"/>
      <c r="DC224" s="47"/>
      <c r="DD224" s="47"/>
      <c r="DE224" s="47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7"/>
      <c r="DQ224" s="47"/>
      <c r="DR224" s="47"/>
      <c r="DS224" s="47"/>
    </row>
    <row r="225" spans="1:22" ht="15.75" x14ac:dyDescent="0.25">
      <c r="A225" s="1257" t="s">
        <v>60</v>
      </c>
      <c r="B225" s="1258"/>
      <c r="C225" s="1258"/>
      <c r="D225" s="1258"/>
      <c r="E225" s="1258"/>
      <c r="F225" s="1258"/>
      <c r="G225" s="1258"/>
      <c r="H225" s="1258"/>
      <c r="I225" s="1258"/>
      <c r="J225" s="1258"/>
      <c r="K225" s="1258"/>
      <c r="L225" s="1258"/>
      <c r="M225" s="1258"/>
      <c r="N225" s="1258"/>
      <c r="O225" s="1258"/>
      <c r="P225" s="1258"/>
      <c r="Q225" s="1258"/>
      <c r="R225" s="1259"/>
      <c r="S225" s="49"/>
      <c r="T225" s="49"/>
      <c r="U225" s="49"/>
      <c r="V225" s="49"/>
    </row>
    <row r="226" spans="1:22" x14ac:dyDescent="0.25">
      <c r="A226" s="1171" t="s">
        <v>8</v>
      </c>
      <c r="B226" s="1210"/>
      <c r="C226" s="1210"/>
      <c r="D226" s="1210"/>
      <c r="E226" s="1210"/>
      <c r="F226" s="1210"/>
      <c r="G226" s="1210"/>
      <c r="H226" s="1210"/>
      <c r="I226" s="1210"/>
      <c r="J226" s="1210"/>
      <c r="K226" s="1210"/>
      <c r="L226" s="1210"/>
      <c r="M226" s="1210"/>
      <c r="N226" s="1210"/>
      <c r="O226" s="1210"/>
      <c r="P226" s="1210"/>
      <c r="Q226" s="1210"/>
      <c r="R226" s="1211"/>
      <c r="S226" s="49"/>
      <c r="T226" s="49"/>
      <c r="U226" s="49"/>
      <c r="V226" s="49"/>
    </row>
    <row r="227" spans="1:22" ht="25.5" x14ac:dyDescent="0.25">
      <c r="A227" s="1195">
        <v>700103</v>
      </c>
      <c r="B227" s="20" t="s">
        <v>69</v>
      </c>
      <c r="C227" s="17" t="s">
        <v>17</v>
      </c>
      <c r="D227" s="8">
        <v>0.05</v>
      </c>
      <c r="E227" s="8">
        <v>0.03</v>
      </c>
      <c r="F227" s="18">
        <v>1.4</v>
      </c>
      <c r="G227" s="8">
        <v>1</v>
      </c>
      <c r="H227" s="8">
        <v>0.01</v>
      </c>
      <c r="I227" s="8" t="s">
        <v>47</v>
      </c>
      <c r="J227" s="8">
        <v>0.5</v>
      </c>
      <c r="K227" s="8">
        <v>0.5</v>
      </c>
      <c r="L227" s="8">
        <v>15</v>
      </c>
      <c r="M227" s="8">
        <v>26987</v>
      </c>
      <c r="N227" s="8" t="s">
        <v>16</v>
      </c>
      <c r="O227" s="19" t="s">
        <v>49</v>
      </c>
      <c r="P227" s="8">
        <v>0</v>
      </c>
      <c r="Q227" s="8">
        <f t="shared" ref="Q227:Q229" si="106">ROUND(((D227*E227*F227*G227*H227*J227*L227*1000000*K227/3600)*(1-P227)),4)</f>
        <v>2.1899999999999999E-2</v>
      </c>
      <c r="R227" s="8">
        <f t="shared" ref="R227:R229" si="107">ROUND((D227*E227*F227*G227*H227*J227*K227*M227*(1-P227)),4)</f>
        <v>0.14169999999999999</v>
      </c>
      <c r="S227" s="49"/>
      <c r="T227" s="49"/>
      <c r="U227" s="49"/>
      <c r="V227" s="49"/>
    </row>
    <row r="228" spans="1:22" ht="51" x14ac:dyDescent="0.25">
      <c r="A228" s="1195"/>
      <c r="B228" s="20" t="s">
        <v>1034</v>
      </c>
      <c r="C228" s="17" t="s">
        <v>202</v>
      </c>
      <c r="D228" s="8">
        <v>0.05</v>
      </c>
      <c r="E228" s="8">
        <v>0.03</v>
      </c>
      <c r="F228" s="18">
        <v>1.4</v>
      </c>
      <c r="G228" s="8">
        <v>1</v>
      </c>
      <c r="H228" s="8">
        <v>0.01</v>
      </c>
      <c r="I228" s="8" t="s">
        <v>47</v>
      </c>
      <c r="J228" s="8">
        <v>0.5</v>
      </c>
      <c r="K228" s="8">
        <v>0.5</v>
      </c>
      <c r="L228" s="8">
        <v>20</v>
      </c>
      <c r="M228" s="8">
        <v>47809</v>
      </c>
      <c r="N228" s="8" t="s">
        <v>16</v>
      </c>
      <c r="O228" s="19" t="s">
        <v>49</v>
      </c>
      <c r="P228" s="8">
        <v>0</v>
      </c>
      <c r="Q228" s="8">
        <f t="shared" ref="Q228" si="108">ROUND(((D228*E228*F228*G228*H228*J228*L228*1000000*K228/3600)*(1-P228)),4)</f>
        <v>2.92E-2</v>
      </c>
      <c r="R228" s="8">
        <f t="shared" ref="R228" si="109">ROUND((D228*E228*F228*G228*H228*J228*K228*M228*(1-P228)),4)</f>
        <v>0.251</v>
      </c>
      <c r="S228" s="49"/>
      <c r="T228" s="49"/>
      <c r="U228" s="49"/>
      <c r="V228" s="49"/>
    </row>
    <row r="229" spans="1:22" ht="25.5" x14ac:dyDescent="0.25">
      <c r="A229" s="1195"/>
      <c r="B229" s="8" t="s">
        <v>70</v>
      </c>
      <c r="C229" s="17" t="s">
        <v>17</v>
      </c>
      <c r="D229" s="8">
        <v>0.05</v>
      </c>
      <c r="E229" s="8">
        <v>0.03</v>
      </c>
      <c r="F229" s="18">
        <v>1.4</v>
      </c>
      <c r="G229" s="8">
        <v>1</v>
      </c>
      <c r="H229" s="8">
        <v>0.01</v>
      </c>
      <c r="I229" s="8" t="s">
        <v>47</v>
      </c>
      <c r="J229" s="8">
        <v>0.5</v>
      </c>
      <c r="K229" s="8">
        <v>0.5</v>
      </c>
      <c r="L229" s="8">
        <v>15</v>
      </c>
      <c r="M229" s="8">
        <v>13494</v>
      </c>
      <c r="N229" s="8" t="s">
        <v>16</v>
      </c>
      <c r="O229" s="19" t="s">
        <v>49</v>
      </c>
      <c r="P229" s="8">
        <v>0</v>
      </c>
      <c r="Q229" s="8">
        <f t="shared" si="106"/>
        <v>2.1899999999999999E-2</v>
      </c>
      <c r="R229" s="8">
        <f t="shared" si="107"/>
        <v>7.0800000000000002E-2</v>
      </c>
      <c r="S229" s="49"/>
      <c r="T229" s="49"/>
      <c r="U229" s="49"/>
      <c r="V229" s="49"/>
    </row>
    <row r="230" spans="1:22" x14ac:dyDescent="0.25">
      <c r="A230" s="1206" t="s">
        <v>72</v>
      </c>
      <c r="B230" s="1207"/>
      <c r="C230" s="1207"/>
      <c r="D230" s="1207"/>
      <c r="E230" s="1207"/>
      <c r="F230" s="1207"/>
      <c r="G230" s="1207"/>
      <c r="H230" s="1207"/>
      <c r="I230" s="1207"/>
      <c r="J230" s="1207"/>
      <c r="K230" s="1207"/>
      <c r="L230" s="1207"/>
      <c r="M230" s="1207"/>
      <c r="N230" s="1207"/>
      <c r="O230" s="1207"/>
      <c r="P230" s="1207"/>
      <c r="Q230" s="1207"/>
      <c r="R230" s="1208"/>
      <c r="S230" s="49"/>
      <c r="T230" s="49"/>
      <c r="U230" s="49"/>
      <c r="V230" s="49"/>
    </row>
    <row r="231" spans="1:22" ht="25.5" x14ac:dyDescent="0.25">
      <c r="A231" s="1136" t="s">
        <v>311</v>
      </c>
      <c r="B231" s="1137"/>
      <c r="C231" s="1137"/>
      <c r="D231" s="1137"/>
      <c r="E231" s="1137"/>
      <c r="F231" s="1137"/>
      <c r="G231" s="1137"/>
      <c r="H231" s="1137"/>
      <c r="I231" s="1137"/>
      <c r="J231" s="1137"/>
      <c r="K231" s="1137"/>
      <c r="L231" s="1137"/>
      <c r="M231" s="1138"/>
      <c r="N231" s="194" t="s">
        <v>16</v>
      </c>
      <c r="O231" s="225" t="s">
        <v>49</v>
      </c>
      <c r="P231" s="8"/>
      <c r="Q231" s="194">
        <f>MAX(Q227,Q229,Q228)</f>
        <v>2.92E-2</v>
      </c>
      <c r="R231" s="194">
        <f>R227+R229+R228</f>
        <v>0.46350000000000002</v>
      </c>
      <c r="S231" s="49"/>
      <c r="T231" s="49"/>
      <c r="U231" s="49"/>
      <c r="V231" s="49"/>
    </row>
    <row r="232" spans="1:22" ht="15" customHeight="1" x14ac:dyDescent="0.25">
      <c r="A232" s="1171" t="s">
        <v>204</v>
      </c>
      <c r="B232" s="1210"/>
      <c r="C232" s="1210"/>
      <c r="D232" s="1210"/>
      <c r="E232" s="1210"/>
      <c r="F232" s="1210"/>
      <c r="G232" s="1210"/>
      <c r="H232" s="1210"/>
      <c r="I232" s="1210"/>
      <c r="J232" s="1210"/>
      <c r="K232" s="1210"/>
      <c r="L232" s="1210"/>
      <c r="M232" s="1210"/>
      <c r="N232" s="1210"/>
      <c r="O232" s="1210"/>
      <c r="P232" s="1210"/>
      <c r="Q232" s="1210"/>
      <c r="R232" s="1211"/>
      <c r="S232" s="49"/>
      <c r="T232" s="49"/>
      <c r="U232" s="49"/>
      <c r="V232" s="49"/>
    </row>
    <row r="233" spans="1:22" ht="25.5" x14ac:dyDescent="0.25">
      <c r="A233" s="1195">
        <v>700902</v>
      </c>
      <c r="B233" s="20" t="s">
        <v>203</v>
      </c>
      <c r="C233" s="17" t="s">
        <v>17</v>
      </c>
      <c r="D233" s="8">
        <v>0.05</v>
      </c>
      <c r="E233" s="8">
        <v>0.03</v>
      </c>
      <c r="F233" s="18">
        <v>1.4</v>
      </c>
      <c r="G233" s="8">
        <v>1</v>
      </c>
      <c r="H233" s="8">
        <v>0.01</v>
      </c>
      <c r="I233" s="8" t="s">
        <v>47</v>
      </c>
      <c r="J233" s="8">
        <v>0.5</v>
      </c>
      <c r="K233" s="8">
        <v>0.5</v>
      </c>
      <c r="L233" s="8">
        <v>5</v>
      </c>
      <c r="M233" s="8">
        <v>50</v>
      </c>
      <c r="N233" s="8" t="s">
        <v>16</v>
      </c>
      <c r="O233" s="19" t="s">
        <v>49</v>
      </c>
      <c r="P233" s="8">
        <v>0</v>
      </c>
      <c r="Q233" s="8">
        <f t="shared" ref="Q233:Q234" si="110">ROUND(((D233*E233*F233*G233*H233*J233*L233*1000000*K233/3600)*(1-P233)),4)</f>
        <v>7.3000000000000001E-3</v>
      </c>
      <c r="R233" s="8">
        <f t="shared" ref="R233:R234" si="111">ROUND((D233*E233*F233*G233*H233*J233*K233*M233*(1-P233)),4)</f>
        <v>2.9999999999999997E-4</v>
      </c>
      <c r="S233" s="49"/>
      <c r="T233" s="49"/>
      <c r="U233" s="49"/>
      <c r="V233" s="49"/>
    </row>
    <row r="234" spans="1:22" ht="25.5" x14ac:dyDescent="0.25">
      <c r="A234" s="1195"/>
      <c r="B234" s="8" t="s">
        <v>70</v>
      </c>
      <c r="C234" s="17" t="s">
        <v>17</v>
      </c>
      <c r="D234" s="8">
        <v>0.05</v>
      </c>
      <c r="E234" s="8">
        <v>0.03</v>
      </c>
      <c r="F234" s="18">
        <v>1.4</v>
      </c>
      <c r="G234" s="8">
        <v>1</v>
      </c>
      <c r="H234" s="8">
        <v>0.01</v>
      </c>
      <c r="I234" s="8" t="s">
        <v>47</v>
      </c>
      <c r="J234" s="8">
        <v>0.5</v>
      </c>
      <c r="K234" s="8">
        <v>0.5</v>
      </c>
      <c r="L234" s="8">
        <v>5</v>
      </c>
      <c r="M234" s="8">
        <v>25</v>
      </c>
      <c r="N234" s="8" t="s">
        <v>16</v>
      </c>
      <c r="O234" s="19" t="s">
        <v>49</v>
      </c>
      <c r="P234" s="8">
        <v>0</v>
      </c>
      <c r="Q234" s="8">
        <f t="shared" si="110"/>
        <v>7.3000000000000001E-3</v>
      </c>
      <c r="R234" s="8">
        <f t="shared" si="111"/>
        <v>1E-4</v>
      </c>
      <c r="S234" s="49"/>
      <c r="T234" s="49"/>
      <c r="U234" s="49"/>
      <c r="V234" s="49"/>
    </row>
    <row r="235" spans="1:22" x14ac:dyDescent="0.25">
      <c r="A235" s="1206" t="s">
        <v>72</v>
      </c>
      <c r="B235" s="1207"/>
      <c r="C235" s="1207"/>
      <c r="D235" s="1207"/>
      <c r="E235" s="1207"/>
      <c r="F235" s="1207"/>
      <c r="G235" s="1207"/>
      <c r="H235" s="1207"/>
      <c r="I235" s="1207"/>
      <c r="J235" s="1207"/>
      <c r="K235" s="1207"/>
      <c r="L235" s="1207"/>
      <c r="M235" s="1207"/>
      <c r="N235" s="1207"/>
      <c r="O235" s="1207"/>
      <c r="P235" s="1207"/>
      <c r="Q235" s="1207"/>
      <c r="R235" s="1208"/>
      <c r="S235" s="49"/>
      <c r="T235" s="49"/>
      <c r="U235" s="49"/>
      <c r="V235" s="49"/>
    </row>
    <row r="236" spans="1:22" ht="25.5" x14ac:dyDescent="0.25">
      <c r="A236" s="1136" t="s">
        <v>383</v>
      </c>
      <c r="B236" s="1137"/>
      <c r="C236" s="1137"/>
      <c r="D236" s="1137"/>
      <c r="E236" s="1137"/>
      <c r="F236" s="1137"/>
      <c r="G236" s="1137"/>
      <c r="H236" s="1137"/>
      <c r="I236" s="1137"/>
      <c r="J236" s="1137"/>
      <c r="K236" s="1137"/>
      <c r="L236" s="1137"/>
      <c r="M236" s="1138"/>
      <c r="N236" s="194" t="s">
        <v>16</v>
      </c>
      <c r="O236" s="225" t="s">
        <v>49</v>
      </c>
      <c r="P236" s="8"/>
      <c r="Q236" s="194">
        <f>MAX(Q233,Q234)</f>
        <v>7.3000000000000001E-3</v>
      </c>
      <c r="R236" s="194">
        <f>R233+R234</f>
        <v>3.9999999999999996E-4</v>
      </c>
      <c r="S236" s="49"/>
      <c r="T236" s="49"/>
      <c r="U236" s="49"/>
      <c r="V236" s="49"/>
    </row>
    <row r="237" spans="1:22" x14ac:dyDescent="0.25">
      <c r="A237" s="1171" t="s">
        <v>210</v>
      </c>
      <c r="B237" s="1210"/>
      <c r="C237" s="1210"/>
      <c r="D237" s="1210"/>
      <c r="E237" s="1210"/>
      <c r="F237" s="1210"/>
      <c r="G237" s="1210"/>
      <c r="H237" s="1210"/>
      <c r="I237" s="1210"/>
      <c r="J237" s="1210"/>
      <c r="K237" s="1210"/>
      <c r="L237" s="1210"/>
      <c r="M237" s="1210"/>
      <c r="N237" s="1210"/>
      <c r="O237" s="1210"/>
      <c r="P237" s="1210"/>
      <c r="Q237" s="1210"/>
      <c r="R237" s="1211"/>
      <c r="S237" s="49"/>
      <c r="T237" s="49"/>
      <c r="U237" s="49"/>
      <c r="V237" s="49"/>
    </row>
    <row r="238" spans="1:22" ht="25.5" x14ac:dyDescent="0.25">
      <c r="A238" s="1195">
        <v>701402</v>
      </c>
      <c r="B238" s="20" t="s">
        <v>69</v>
      </c>
      <c r="C238" s="17" t="s">
        <v>17</v>
      </c>
      <c r="D238" s="8">
        <v>0.05</v>
      </c>
      <c r="E238" s="8">
        <v>0.03</v>
      </c>
      <c r="F238" s="18">
        <v>1.4</v>
      </c>
      <c r="G238" s="8">
        <v>1</v>
      </c>
      <c r="H238" s="8">
        <v>0.01</v>
      </c>
      <c r="I238" s="8" t="s">
        <v>47</v>
      </c>
      <c r="J238" s="8">
        <v>0.5</v>
      </c>
      <c r="K238" s="8">
        <v>0.5</v>
      </c>
      <c r="L238" s="8">
        <v>15</v>
      </c>
      <c r="M238" s="8">
        <v>1687</v>
      </c>
      <c r="N238" s="8" t="s">
        <v>16</v>
      </c>
      <c r="O238" s="19" t="s">
        <v>49</v>
      </c>
      <c r="P238" s="8">
        <v>0</v>
      </c>
      <c r="Q238" s="8">
        <f t="shared" ref="Q238:Q239" si="112">ROUND(((D238*E238*F238*G238*H238*J238*L238*1000000*K238/3600)*(1-P238)),4)</f>
        <v>2.1899999999999999E-2</v>
      </c>
      <c r="R238" s="8">
        <f t="shared" ref="R238:R239" si="113">ROUND((D238*E238*F238*G238*H238*J238*K238*M238*(1-P238)),4)</f>
        <v>8.8999999999999999E-3</v>
      </c>
      <c r="S238" s="49"/>
      <c r="T238" s="49"/>
      <c r="U238" s="49"/>
      <c r="V238" s="49"/>
    </row>
    <row r="239" spans="1:22" ht="25.5" x14ac:dyDescent="0.25">
      <c r="A239" s="1195"/>
      <c r="B239" s="8" t="s">
        <v>70</v>
      </c>
      <c r="C239" s="17" t="s">
        <v>17</v>
      </c>
      <c r="D239" s="8">
        <v>0.05</v>
      </c>
      <c r="E239" s="8">
        <v>0.03</v>
      </c>
      <c r="F239" s="18">
        <v>1.4</v>
      </c>
      <c r="G239" s="8">
        <v>1</v>
      </c>
      <c r="H239" s="8">
        <v>0.01</v>
      </c>
      <c r="I239" s="8" t="s">
        <v>47</v>
      </c>
      <c r="J239" s="8">
        <v>0.5</v>
      </c>
      <c r="K239" s="8">
        <v>0.5</v>
      </c>
      <c r="L239" s="8">
        <v>5</v>
      </c>
      <c r="M239" s="8">
        <v>844</v>
      </c>
      <c r="N239" s="8" t="s">
        <v>16</v>
      </c>
      <c r="O239" s="19" t="s">
        <v>49</v>
      </c>
      <c r="P239" s="8">
        <v>0</v>
      </c>
      <c r="Q239" s="8">
        <f t="shared" si="112"/>
        <v>7.3000000000000001E-3</v>
      </c>
      <c r="R239" s="8">
        <f t="shared" si="113"/>
        <v>4.4000000000000003E-3</v>
      </c>
      <c r="S239" s="49"/>
      <c r="T239" s="49"/>
      <c r="U239" s="49"/>
      <c r="V239" s="49"/>
    </row>
    <row r="240" spans="1:22" x14ac:dyDescent="0.25">
      <c r="A240" s="1206" t="s">
        <v>72</v>
      </c>
      <c r="B240" s="1207"/>
      <c r="C240" s="1207"/>
      <c r="D240" s="1207"/>
      <c r="E240" s="1207"/>
      <c r="F240" s="1207"/>
      <c r="G240" s="1207"/>
      <c r="H240" s="1207"/>
      <c r="I240" s="1207"/>
      <c r="J240" s="1207"/>
      <c r="K240" s="1207"/>
      <c r="L240" s="1207"/>
      <c r="M240" s="1207"/>
      <c r="N240" s="1207"/>
      <c r="O240" s="1207"/>
      <c r="P240" s="1207"/>
      <c r="Q240" s="1207"/>
      <c r="R240" s="1208"/>
      <c r="S240" s="49"/>
      <c r="T240" s="49"/>
      <c r="U240" s="49"/>
      <c r="V240" s="49"/>
    </row>
    <row r="241" spans="1:22" ht="25.5" x14ac:dyDescent="0.25">
      <c r="A241" s="1136" t="s">
        <v>389</v>
      </c>
      <c r="B241" s="1137"/>
      <c r="C241" s="1137"/>
      <c r="D241" s="1137"/>
      <c r="E241" s="1137"/>
      <c r="F241" s="1137"/>
      <c r="G241" s="1137"/>
      <c r="H241" s="1137"/>
      <c r="I241" s="1137"/>
      <c r="J241" s="1137"/>
      <c r="K241" s="1137"/>
      <c r="L241" s="1137"/>
      <c r="M241" s="1138"/>
      <c r="N241" s="194" t="s">
        <v>16</v>
      </c>
      <c r="O241" s="225" t="s">
        <v>49</v>
      </c>
      <c r="P241" s="8"/>
      <c r="Q241" s="194">
        <f>MAX(Q238,Q239)</f>
        <v>2.1899999999999999E-2</v>
      </c>
      <c r="R241" s="194">
        <f>R238+R239</f>
        <v>1.3299999999999999E-2</v>
      </c>
      <c r="S241" s="49"/>
      <c r="T241" s="49"/>
      <c r="U241" s="49"/>
      <c r="V241" s="49"/>
    </row>
    <row r="242" spans="1:22" x14ac:dyDescent="0.25">
      <c r="A242" s="1171" t="s">
        <v>213</v>
      </c>
      <c r="B242" s="1210"/>
      <c r="C242" s="1210"/>
      <c r="D242" s="1210"/>
      <c r="E242" s="1210"/>
      <c r="F242" s="1210"/>
      <c r="G242" s="1210"/>
      <c r="H242" s="1210"/>
      <c r="I242" s="1210"/>
      <c r="J242" s="1210"/>
      <c r="K242" s="1210"/>
      <c r="L242" s="1210"/>
      <c r="M242" s="1210"/>
      <c r="N242" s="1210"/>
      <c r="O242" s="1210"/>
      <c r="P242" s="1210"/>
      <c r="Q242" s="1210"/>
      <c r="R242" s="1211"/>
      <c r="S242" s="49"/>
      <c r="T242" s="49"/>
      <c r="U242" s="49"/>
      <c r="V242" s="49"/>
    </row>
    <row r="243" spans="1:22" ht="25.5" x14ac:dyDescent="0.25">
      <c r="A243" s="1195">
        <v>701902</v>
      </c>
      <c r="B243" s="20" t="s">
        <v>69</v>
      </c>
      <c r="C243" s="17" t="s">
        <v>17</v>
      </c>
      <c r="D243" s="8">
        <v>0.05</v>
      </c>
      <c r="E243" s="8">
        <v>0.03</v>
      </c>
      <c r="F243" s="18">
        <v>1.4</v>
      </c>
      <c r="G243" s="8">
        <v>1</v>
      </c>
      <c r="H243" s="8">
        <v>0.01</v>
      </c>
      <c r="I243" s="8" t="s">
        <v>47</v>
      </c>
      <c r="J243" s="8">
        <v>0.5</v>
      </c>
      <c r="K243" s="8">
        <v>0.5</v>
      </c>
      <c r="L243" s="8">
        <v>15</v>
      </c>
      <c r="M243" s="8">
        <v>6410</v>
      </c>
      <c r="N243" s="8" t="s">
        <v>16</v>
      </c>
      <c r="O243" s="19" t="s">
        <v>49</v>
      </c>
      <c r="P243" s="8">
        <v>0</v>
      </c>
      <c r="Q243" s="8">
        <f t="shared" ref="Q243:Q244" si="114">ROUND(((D243*E243*F243*G243*H243*J243*L243*1000000*K243/3600)*(1-P243)),4)</f>
        <v>2.1899999999999999E-2</v>
      </c>
      <c r="R243" s="8">
        <f t="shared" ref="R243:R244" si="115">ROUND((D243*E243*F243*G243*H243*J243*K243*M243*(1-P243)),4)</f>
        <v>3.3700000000000001E-2</v>
      </c>
      <c r="S243" s="49"/>
      <c r="T243" s="49"/>
      <c r="U243" s="49"/>
      <c r="V243" s="49"/>
    </row>
    <row r="244" spans="1:22" ht="25.5" x14ac:dyDescent="0.25">
      <c r="A244" s="1195"/>
      <c r="B244" s="8" t="s">
        <v>70</v>
      </c>
      <c r="C244" s="17" t="s">
        <v>17</v>
      </c>
      <c r="D244" s="8">
        <v>0.05</v>
      </c>
      <c r="E244" s="8">
        <v>0.03</v>
      </c>
      <c r="F244" s="18">
        <v>1.4</v>
      </c>
      <c r="G244" s="8">
        <v>1</v>
      </c>
      <c r="H244" s="8">
        <v>0.01</v>
      </c>
      <c r="I244" s="8" t="s">
        <v>47</v>
      </c>
      <c r="J244" s="8">
        <v>0.5</v>
      </c>
      <c r="K244" s="8">
        <v>0.5</v>
      </c>
      <c r="L244" s="8">
        <v>5</v>
      </c>
      <c r="M244" s="8">
        <v>3206</v>
      </c>
      <c r="N244" s="8" t="s">
        <v>16</v>
      </c>
      <c r="O244" s="19" t="s">
        <v>49</v>
      </c>
      <c r="P244" s="8">
        <v>0</v>
      </c>
      <c r="Q244" s="8">
        <f t="shared" si="114"/>
        <v>7.3000000000000001E-3</v>
      </c>
      <c r="R244" s="8">
        <f t="shared" si="115"/>
        <v>1.6799999999999999E-2</v>
      </c>
      <c r="S244" s="49"/>
      <c r="T244" s="49"/>
      <c r="U244" s="49"/>
      <c r="V244" s="49"/>
    </row>
    <row r="245" spans="1:22" x14ac:dyDescent="0.25">
      <c r="A245" s="1206" t="s">
        <v>72</v>
      </c>
      <c r="B245" s="1207"/>
      <c r="C245" s="1207"/>
      <c r="D245" s="1207"/>
      <c r="E245" s="1207"/>
      <c r="F245" s="1207"/>
      <c r="G245" s="1207"/>
      <c r="H245" s="1207"/>
      <c r="I245" s="1207"/>
      <c r="J245" s="1207"/>
      <c r="K245" s="1207"/>
      <c r="L245" s="1207"/>
      <c r="M245" s="1207"/>
      <c r="N245" s="1207"/>
      <c r="O245" s="1207"/>
      <c r="P245" s="1207"/>
      <c r="Q245" s="1207"/>
      <c r="R245" s="1208"/>
      <c r="S245" s="49"/>
      <c r="T245" s="49"/>
      <c r="U245" s="49"/>
      <c r="V245" s="49"/>
    </row>
    <row r="246" spans="1:22" ht="25.5" x14ac:dyDescent="0.25">
      <c r="A246" s="1136" t="s">
        <v>395</v>
      </c>
      <c r="B246" s="1137"/>
      <c r="C246" s="1137"/>
      <c r="D246" s="1137"/>
      <c r="E246" s="1137"/>
      <c r="F246" s="1137"/>
      <c r="G246" s="1137"/>
      <c r="H246" s="1137"/>
      <c r="I246" s="1137"/>
      <c r="J246" s="1137"/>
      <c r="K246" s="1137"/>
      <c r="L246" s="1137"/>
      <c r="M246" s="1138"/>
      <c r="N246" s="194" t="s">
        <v>16</v>
      </c>
      <c r="O246" s="225" t="s">
        <v>49</v>
      </c>
      <c r="P246" s="8"/>
      <c r="Q246" s="194">
        <f>MAX(Q243,Q244)</f>
        <v>2.1899999999999999E-2</v>
      </c>
      <c r="R246" s="194">
        <f>R243+R244</f>
        <v>5.0500000000000003E-2</v>
      </c>
      <c r="S246" s="49"/>
      <c r="T246" s="49"/>
      <c r="U246" s="49"/>
      <c r="V246" s="49"/>
    </row>
    <row r="247" spans="1:22" x14ac:dyDescent="0.25">
      <c r="A247" s="1171" t="s">
        <v>215</v>
      </c>
      <c r="B247" s="1210"/>
      <c r="C247" s="1210"/>
      <c r="D247" s="1210"/>
      <c r="E247" s="1210"/>
      <c r="F247" s="1210"/>
      <c r="G247" s="1210"/>
      <c r="H247" s="1210"/>
      <c r="I247" s="1210"/>
      <c r="J247" s="1210"/>
      <c r="K247" s="1210"/>
      <c r="L247" s="1210"/>
      <c r="M247" s="1210"/>
      <c r="N247" s="1210"/>
      <c r="O247" s="1210"/>
      <c r="P247" s="1210"/>
      <c r="Q247" s="1210"/>
      <c r="R247" s="1211"/>
      <c r="S247" s="49"/>
      <c r="T247" s="49"/>
      <c r="U247" s="49"/>
      <c r="V247" s="49"/>
    </row>
    <row r="248" spans="1:22" ht="25.5" x14ac:dyDescent="0.25">
      <c r="A248" s="185">
        <v>702502</v>
      </c>
      <c r="B248" s="8" t="s">
        <v>70</v>
      </c>
      <c r="C248" s="17" t="s">
        <v>17</v>
      </c>
      <c r="D248" s="8">
        <v>0.05</v>
      </c>
      <c r="E248" s="8">
        <v>0.03</v>
      </c>
      <c r="F248" s="18">
        <v>1.4</v>
      </c>
      <c r="G248" s="8">
        <v>1</v>
      </c>
      <c r="H248" s="8">
        <v>0.01</v>
      </c>
      <c r="I248" s="8" t="s">
        <v>47</v>
      </c>
      <c r="J248" s="8">
        <v>0.5</v>
      </c>
      <c r="K248" s="8">
        <v>0.5</v>
      </c>
      <c r="L248" s="8">
        <v>20</v>
      </c>
      <c r="M248" s="8">
        <v>14736</v>
      </c>
      <c r="N248" s="8" t="s">
        <v>16</v>
      </c>
      <c r="O248" s="19" t="s">
        <v>49</v>
      </c>
      <c r="P248" s="8">
        <v>0</v>
      </c>
      <c r="Q248" s="8">
        <f t="shared" ref="Q248" si="116">ROUND(((D248*E248*F248*G248*H248*J248*L248*1000000*K248/3600)*(1-P248)),4)</f>
        <v>2.92E-2</v>
      </c>
      <c r="R248" s="8">
        <f t="shared" ref="R248" si="117">ROUND((D248*E248*F248*G248*H248*J248*K248*M248*(1-P248)),4)</f>
        <v>7.7399999999999997E-2</v>
      </c>
      <c r="S248" s="49"/>
      <c r="T248" s="49"/>
      <c r="U248" s="49"/>
      <c r="V248" s="49"/>
    </row>
    <row r="249" spans="1:22" x14ac:dyDescent="0.25">
      <c r="A249" s="1171" t="s">
        <v>232</v>
      </c>
      <c r="B249" s="1210"/>
      <c r="C249" s="1210"/>
      <c r="D249" s="1210"/>
      <c r="E249" s="1210"/>
      <c r="F249" s="1210"/>
      <c r="G249" s="1210"/>
      <c r="H249" s="1210"/>
      <c r="I249" s="1210"/>
      <c r="J249" s="1210"/>
      <c r="K249" s="1210"/>
      <c r="L249" s="1210"/>
      <c r="M249" s="1210"/>
      <c r="N249" s="1210"/>
      <c r="O249" s="1210"/>
      <c r="P249" s="1210"/>
      <c r="Q249" s="1210"/>
      <c r="R249" s="1211"/>
      <c r="S249" s="49"/>
      <c r="T249" s="49"/>
      <c r="U249" s="49"/>
      <c r="V249" s="49"/>
    </row>
    <row r="250" spans="1:22" ht="25.5" x14ac:dyDescent="0.25">
      <c r="A250" s="1242">
        <v>703002</v>
      </c>
      <c r="B250" s="759" t="s">
        <v>69</v>
      </c>
      <c r="C250" s="760" t="s">
        <v>17</v>
      </c>
      <c r="D250" s="193">
        <v>0.05</v>
      </c>
      <c r="E250" s="193">
        <v>0.03</v>
      </c>
      <c r="F250" s="761">
        <v>1.4</v>
      </c>
      <c r="G250" s="193">
        <v>1</v>
      </c>
      <c r="H250" s="193">
        <v>0.01</v>
      </c>
      <c r="I250" s="193" t="s">
        <v>47</v>
      </c>
      <c r="J250" s="193">
        <v>0.5</v>
      </c>
      <c r="K250" s="193">
        <v>0.5</v>
      </c>
      <c r="L250" s="193">
        <v>10</v>
      </c>
      <c r="M250" s="193">
        <v>2699</v>
      </c>
      <c r="N250" s="193" t="s">
        <v>16</v>
      </c>
      <c r="O250" s="762" t="s">
        <v>49</v>
      </c>
      <c r="P250" s="193">
        <v>0</v>
      </c>
      <c r="Q250" s="193">
        <f t="shared" ref="Q250:Q251" si="118">ROUND(((D250*E250*F250*G250*H250*J250*L250*1000000*K250/3600)*(1-P250)),4)</f>
        <v>1.46E-2</v>
      </c>
      <c r="R250" s="193">
        <f t="shared" ref="R250:R251" si="119">ROUND((D250*E250*F250*G250*H250*J250*K250*M250*(1-P250)),4)</f>
        <v>1.4200000000000001E-2</v>
      </c>
      <c r="S250" s="49"/>
      <c r="T250" s="49"/>
      <c r="U250" s="49"/>
      <c r="V250" s="49"/>
    </row>
    <row r="251" spans="1:22" ht="25.5" x14ac:dyDescent="0.25">
      <c r="A251" s="1242"/>
      <c r="B251" s="193" t="s">
        <v>70</v>
      </c>
      <c r="C251" s="760" t="s">
        <v>17</v>
      </c>
      <c r="D251" s="193">
        <v>0.05</v>
      </c>
      <c r="E251" s="193">
        <v>0.03</v>
      </c>
      <c r="F251" s="761">
        <v>1.4</v>
      </c>
      <c r="G251" s="193">
        <v>1</v>
      </c>
      <c r="H251" s="193">
        <v>0.01</v>
      </c>
      <c r="I251" s="193" t="s">
        <v>47</v>
      </c>
      <c r="J251" s="193">
        <v>0.5</v>
      </c>
      <c r="K251" s="193">
        <v>0.5</v>
      </c>
      <c r="L251" s="193">
        <v>5</v>
      </c>
      <c r="M251" s="193">
        <v>6747</v>
      </c>
      <c r="N251" s="193" t="s">
        <v>16</v>
      </c>
      <c r="O251" s="762" t="s">
        <v>49</v>
      </c>
      <c r="P251" s="193">
        <v>0</v>
      </c>
      <c r="Q251" s="193">
        <f t="shared" si="118"/>
        <v>7.3000000000000001E-3</v>
      </c>
      <c r="R251" s="193">
        <f t="shared" si="119"/>
        <v>3.5400000000000001E-2</v>
      </c>
      <c r="S251" s="49"/>
      <c r="T251" s="49"/>
      <c r="U251" s="49"/>
      <c r="V251" s="49"/>
    </row>
    <row r="252" spans="1:22" x14ac:dyDescent="0.25">
      <c r="A252" s="1243" t="s">
        <v>72</v>
      </c>
      <c r="B252" s="1244"/>
      <c r="C252" s="1244"/>
      <c r="D252" s="1244"/>
      <c r="E252" s="1244"/>
      <c r="F252" s="1244"/>
      <c r="G252" s="1244"/>
      <c r="H252" s="1244"/>
      <c r="I252" s="1244"/>
      <c r="J252" s="1244"/>
      <c r="K252" s="1244"/>
      <c r="L252" s="1244"/>
      <c r="M252" s="1244"/>
      <c r="N252" s="1244"/>
      <c r="O252" s="1244"/>
      <c r="P252" s="1244"/>
      <c r="Q252" s="1244"/>
      <c r="R252" s="1245"/>
      <c r="S252" s="49"/>
      <c r="T252" s="49"/>
      <c r="U252" s="49"/>
      <c r="V252" s="49"/>
    </row>
    <row r="253" spans="1:22" ht="25.5" x14ac:dyDescent="0.25">
      <c r="A253" s="1203" t="s">
        <v>1184</v>
      </c>
      <c r="B253" s="1260"/>
      <c r="C253" s="1260"/>
      <c r="D253" s="1260"/>
      <c r="E253" s="1260"/>
      <c r="F253" s="1260"/>
      <c r="G253" s="1260"/>
      <c r="H253" s="1260"/>
      <c r="I253" s="1260"/>
      <c r="J253" s="1260"/>
      <c r="K253" s="1260"/>
      <c r="L253" s="1260"/>
      <c r="M253" s="1261"/>
      <c r="N253" s="750" t="s">
        <v>16</v>
      </c>
      <c r="O253" s="763" t="s">
        <v>49</v>
      </c>
      <c r="P253" s="193"/>
      <c r="Q253" s="750">
        <f>MAX(Q250,Q251)</f>
        <v>1.46E-2</v>
      </c>
      <c r="R253" s="750">
        <f>R250+R251</f>
        <v>4.9600000000000005E-2</v>
      </c>
      <c r="S253" s="49"/>
      <c r="T253" s="49"/>
      <c r="U253" s="49"/>
      <c r="V253" s="49"/>
    </row>
    <row r="254" spans="1:22" x14ac:dyDescent="0.25">
      <c r="A254" s="1171" t="s">
        <v>233</v>
      </c>
      <c r="B254" s="1210"/>
      <c r="C254" s="1210"/>
      <c r="D254" s="1210"/>
      <c r="E254" s="1210"/>
      <c r="F254" s="1210"/>
      <c r="G254" s="1210"/>
      <c r="H254" s="1210"/>
      <c r="I254" s="1210"/>
      <c r="J254" s="1210"/>
      <c r="K254" s="1210"/>
      <c r="L254" s="1210"/>
      <c r="M254" s="1210"/>
      <c r="N254" s="1210"/>
      <c r="O254" s="1210"/>
      <c r="P254" s="1210"/>
      <c r="Q254" s="1210"/>
      <c r="R254" s="1211"/>
      <c r="S254" s="49"/>
      <c r="T254" s="49"/>
      <c r="U254" s="49"/>
      <c r="V254" s="49"/>
    </row>
    <row r="255" spans="1:22" ht="25.5" x14ac:dyDescent="0.25">
      <c r="A255" s="184">
        <v>703602</v>
      </c>
      <c r="B255" s="20" t="s">
        <v>234</v>
      </c>
      <c r="C255" s="17" t="s">
        <v>235</v>
      </c>
      <c r="D255" s="8">
        <v>0.02</v>
      </c>
      <c r="E255" s="8">
        <v>0.01</v>
      </c>
      <c r="F255" s="18">
        <v>1.4</v>
      </c>
      <c r="G255" s="8">
        <v>1</v>
      </c>
      <c r="H255" s="8">
        <v>0.01</v>
      </c>
      <c r="I255" s="8" t="s">
        <v>47</v>
      </c>
      <c r="J255" s="8">
        <v>0.5</v>
      </c>
      <c r="K255" s="8">
        <v>0.5</v>
      </c>
      <c r="L255" s="8">
        <v>5</v>
      </c>
      <c r="M255" s="8">
        <v>807</v>
      </c>
      <c r="N255" s="8" t="s">
        <v>16</v>
      </c>
      <c r="O255" s="19" t="s">
        <v>49</v>
      </c>
      <c r="P255" s="8">
        <v>0.8</v>
      </c>
      <c r="Q255" s="8">
        <f t="shared" ref="Q255" si="120">ROUND(((D255*E255*F255*G255*H255*J255*L255*1000000*K255/3600)*(1-P255)),4)</f>
        <v>2.0000000000000001E-4</v>
      </c>
      <c r="R255" s="8">
        <f t="shared" ref="R255" si="121">ROUND((D255*E255*F255*G255*H255*J255*K255*M255*(1-P255)),4)</f>
        <v>1E-4</v>
      </c>
      <c r="S255" s="49"/>
      <c r="T255" s="49"/>
      <c r="U255" s="49"/>
      <c r="V255" s="49"/>
    </row>
    <row r="256" spans="1:22" x14ac:dyDescent="0.25">
      <c r="A256" s="1178" t="s">
        <v>241</v>
      </c>
      <c r="B256" s="1235"/>
      <c r="C256" s="1235"/>
      <c r="D256" s="1235"/>
      <c r="E256" s="1235"/>
      <c r="F256" s="1235"/>
      <c r="G256" s="1235"/>
      <c r="H256" s="1235"/>
      <c r="I256" s="1235"/>
      <c r="J256" s="1235"/>
      <c r="K256" s="1235"/>
      <c r="L256" s="1235"/>
      <c r="M256" s="1235"/>
      <c r="N256" s="1235"/>
      <c r="O256" s="1235"/>
      <c r="P256" s="1235"/>
      <c r="Q256" s="1235"/>
      <c r="R256" s="1236"/>
      <c r="S256" s="49"/>
      <c r="T256" s="49"/>
      <c r="U256" s="49"/>
      <c r="V256" s="49"/>
    </row>
    <row r="257" spans="1:25" ht="51" x14ac:dyDescent="0.25">
      <c r="A257" s="1253">
        <v>7043</v>
      </c>
      <c r="B257" s="324" t="s">
        <v>242</v>
      </c>
      <c r="C257" s="306" t="s">
        <v>235</v>
      </c>
      <c r="D257" s="312">
        <v>0.02</v>
      </c>
      <c r="E257" s="312">
        <v>0.01</v>
      </c>
      <c r="F257" s="307">
        <v>1.4</v>
      </c>
      <c r="G257" s="312">
        <v>1</v>
      </c>
      <c r="H257" s="312">
        <v>0.01</v>
      </c>
      <c r="I257" s="312" t="s">
        <v>47</v>
      </c>
      <c r="J257" s="312">
        <v>0.5</v>
      </c>
      <c r="K257" s="312">
        <v>0.5</v>
      </c>
      <c r="L257" s="312">
        <v>20</v>
      </c>
      <c r="M257" s="312">
        <v>18596</v>
      </c>
      <c r="N257" s="312" t="s">
        <v>16</v>
      </c>
      <c r="O257" s="325" t="s">
        <v>49</v>
      </c>
      <c r="P257" s="312">
        <v>0.8</v>
      </c>
      <c r="Q257" s="312">
        <f t="shared" ref="Q257:Q259" si="122">ROUND(((D257*E257*F257*G257*H257*J257*L257*1000000*K257/3600)*(1-P257)),4)</f>
        <v>8.0000000000000004E-4</v>
      </c>
      <c r="R257" s="312">
        <f t="shared" ref="R257:R258" si="123">ROUND((D257*E257*F257*G257*H257*J257*K257*M257*(1-P257)),4)</f>
        <v>2.5999999999999999E-3</v>
      </c>
      <c r="S257" s="49"/>
      <c r="T257" s="49"/>
      <c r="U257" s="49"/>
      <c r="V257" s="49"/>
    </row>
    <row r="258" spans="1:25" ht="25.5" x14ac:dyDescent="0.25">
      <c r="A258" s="1254"/>
      <c r="B258" s="324" t="s">
        <v>243</v>
      </c>
      <c r="C258" s="306" t="s">
        <v>17</v>
      </c>
      <c r="D258" s="312">
        <v>0.05</v>
      </c>
      <c r="E258" s="312">
        <v>0.03</v>
      </c>
      <c r="F258" s="307">
        <v>1.4</v>
      </c>
      <c r="G258" s="312">
        <v>1</v>
      </c>
      <c r="H258" s="312">
        <v>0.01</v>
      </c>
      <c r="I258" s="312" t="s">
        <v>47</v>
      </c>
      <c r="J258" s="312">
        <v>0.5</v>
      </c>
      <c r="K258" s="312">
        <v>0.5</v>
      </c>
      <c r="L258" s="312">
        <v>5</v>
      </c>
      <c r="M258" s="312">
        <v>24</v>
      </c>
      <c r="N258" s="312" t="s">
        <v>16</v>
      </c>
      <c r="O258" s="325" t="s">
        <v>49</v>
      </c>
      <c r="P258" s="312">
        <v>0</v>
      </c>
      <c r="Q258" s="312">
        <f t="shared" si="122"/>
        <v>7.3000000000000001E-3</v>
      </c>
      <c r="R258" s="312">
        <f t="shared" si="123"/>
        <v>1E-4</v>
      </c>
      <c r="S258" s="49"/>
      <c r="T258" s="49"/>
      <c r="U258" s="49"/>
      <c r="V258" s="49"/>
    </row>
    <row r="259" spans="1:25" ht="25.5" x14ac:dyDescent="0.25">
      <c r="A259" s="1255"/>
      <c r="B259" s="312" t="s">
        <v>70</v>
      </c>
      <c r="C259" s="306" t="s">
        <v>17</v>
      </c>
      <c r="D259" s="312">
        <v>0.05</v>
      </c>
      <c r="E259" s="312">
        <v>0.03</v>
      </c>
      <c r="F259" s="307">
        <v>1.4</v>
      </c>
      <c r="G259" s="312">
        <v>1</v>
      </c>
      <c r="H259" s="312">
        <v>0.01</v>
      </c>
      <c r="I259" s="312" t="s">
        <v>47</v>
      </c>
      <c r="J259" s="312">
        <v>0.5</v>
      </c>
      <c r="K259" s="312">
        <v>0.5</v>
      </c>
      <c r="L259" s="312">
        <v>5</v>
      </c>
      <c r="M259" s="312">
        <v>9.5</v>
      </c>
      <c r="N259" s="312" t="s">
        <v>16</v>
      </c>
      <c r="O259" s="325" t="s">
        <v>49</v>
      </c>
      <c r="P259" s="312">
        <v>0</v>
      </c>
      <c r="Q259" s="312">
        <f t="shared" si="122"/>
        <v>7.3000000000000001E-3</v>
      </c>
      <c r="R259" s="312">
        <f>ROUND((D259*E259*F259*G259*H259*J259*K259*M259*(1-P259)),5)</f>
        <v>5.0000000000000002E-5</v>
      </c>
      <c r="S259" s="49"/>
      <c r="T259" s="49"/>
      <c r="U259" s="49"/>
      <c r="V259" s="49"/>
    </row>
    <row r="260" spans="1:25" x14ac:dyDescent="0.25">
      <c r="A260" s="1250" t="s">
        <v>72</v>
      </c>
      <c r="B260" s="1251"/>
      <c r="C260" s="1251"/>
      <c r="D260" s="1251"/>
      <c r="E260" s="1251"/>
      <c r="F260" s="1251"/>
      <c r="G260" s="1251"/>
      <c r="H260" s="1251"/>
      <c r="I260" s="1251"/>
      <c r="J260" s="1251"/>
      <c r="K260" s="1251"/>
      <c r="L260" s="1251"/>
      <c r="M260" s="1251"/>
      <c r="N260" s="1251"/>
      <c r="O260" s="1251"/>
      <c r="P260" s="1251"/>
      <c r="Q260" s="1251"/>
      <c r="R260" s="1252"/>
      <c r="S260" s="49"/>
      <c r="T260" s="49"/>
      <c r="U260" s="49"/>
      <c r="V260" s="49"/>
    </row>
    <row r="261" spans="1:25" ht="25.5" x14ac:dyDescent="0.25">
      <c r="A261" s="1139" t="s">
        <v>418</v>
      </c>
      <c r="B261" s="1140"/>
      <c r="C261" s="1140"/>
      <c r="D261" s="1140"/>
      <c r="E261" s="1140"/>
      <c r="F261" s="1140"/>
      <c r="G261" s="1140"/>
      <c r="H261" s="1140"/>
      <c r="I261" s="1140"/>
      <c r="J261" s="1140"/>
      <c r="K261" s="1140"/>
      <c r="L261" s="1140"/>
      <c r="M261" s="1141"/>
      <c r="N261" s="313" t="s">
        <v>16</v>
      </c>
      <c r="O261" s="326" t="s">
        <v>49</v>
      </c>
      <c r="P261" s="312"/>
      <c r="Q261" s="313">
        <f>MAX(Q257,Q258,Q259)</f>
        <v>7.3000000000000001E-3</v>
      </c>
      <c r="R261" s="313">
        <f>R257+R258+R259</f>
        <v>2.7499999999999998E-3</v>
      </c>
      <c r="S261" s="49"/>
      <c r="T261" s="49"/>
      <c r="U261" s="49"/>
      <c r="V261" s="49"/>
    </row>
    <row r="262" spans="1:25" x14ac:dyDescent="0.25">
      <c r="A262" s="1171" t="s">
        <v>255</v>
      </c>
      <c r="B262" s="1210"/>
      <c r="C262" s="1210"/>
      <c r="D262" s="1210"/>
      <c r="E262" s="1210"/>
      <c r="F262" s="1210"/>
      <c r="G262" s="1210"/>
      <c r="H262" s="1210"/>
      <c r="I262" s="1210"/>
      <c r="J262" s="1210"/>
      <c r="K262" s="1210"/>
      <c r="L262" s="1210"/>
      <c r="M262" s="1210"/>
      <c r="N262" s="1210"/>
      <c r="O262" s="1210"/>
      <c r="P262" s="1210"/>
      <c r="Q262" s="1210"/>
      <c r="R262" s="1211"/>
      <c r="S262" s="49"/>
      <c r="T262" s="49"/>
      <c r="U262" s="49"/>
      <c r="V262" s="49"/>
    </row>
    <row r="263" spans="1:25" ht="25.5" x14ac:dyDescent="0.25">
      <c r="A263" s="1209">
        <v>705403</v>
      </c>
      <c r="B263" s="20" t="s">
        <v>69</v>
      </c>
      <c r="C263" s="17" t="s">
        <v>17</v>
      </c>
      <c r="D263" s="8">
        <v>0.05</v>
      </c>
      <c r="E263" s="8">
        <v>0.03</v>
      </c>
      <c r="F263" s="18">
        <v>1.4</v>
      </c>
      <c r="G263" s="8">
        <v>1</v>
      </c>
      <c r="H263" s="8">
        <v>0.01</v>
      </c>
      <c r="I263" s="8" t="s">
        <v>47</v>
      </c>
      <c r="J263" s="8">
        <v>0.5</v>
      </c>
      <c r="K263" s="8">
        <v>0.5</v>
      </c>
      <c r="L263" s="8">
        <v>10</v>
      </c>
      <c r="M263" s="8">
        <v>2889</v>
      </c>
      <c r="N263" s="8" t="s">
        <v>16</v>
      </c>
      <c r="O263" s="19" t="s">
        <v>49</v>
      </c>
      <c r="P263" s="8">
        <v>0</v>
      </c>
      <c r="Q263" s="8">
        <f t="shared" ref="Q263:Q264" si="124">ROUND(((D263*E263*F263*G263*H263*J263*L263*1000000*K263/3600)*(1-P263)),4)</f>
        <v>1.46E-2</v>
      </c>
      <c r="R263" s="8">
        <f t="shared" ref="R263:R264" si="125">ROUND((D263*E263*F263*G263*H263*J263*K263*M263*(1-P263)),4)</f>
        <v>1.52E-2</v>
      </c>
      <c r="S263" s="49"/>
      <c r="T263" s="49"/>
      <c r="U263" s="49"/>
      <c r="V263" s="49"/>
    </row>
    <row r="264" spans="1:25" ht="25.5" x14ac:dyDescent="0.25">
      <c r="A264" s="1195"/>
      <c r="B264" s="18" t="s">
        <v>70</v>
      </c>
      <c r="C264" s="17" t="s">
        <v>17</v>
      </c>
      <c r="D264" s="8">
        <v>0.05</v>
      </c>
      <c r="E264" s="8">
        <v>0.03</v>
      </c>
      <c r="F264" s="18">
        <v>1.4</v>
      </c>
      <c r="G264" s="8">
        <v>1</v>
      </c>
      <c r="H264" s="8">
        <v>0.01</v>
      </c>
      <c r="I264" s="8" t="s">
        <v>47</v>
      </c>
      <c r="J264" s="8">
        <v>0.5</v>
      </c>
      <c r="K264" s="8">
        <v>0.5</v>
      </c>
      <c r="L264" s="8">
        <v>5</v>
      </c>
      <c r="M264" s="8">
        <v>1445</v>
      </c>
      <c r="N264" s="8" t="s">
        <v>16</v>
      </c>
      <c r="O264" s="19" t="s">
        <v>49</v>
      </c>
      <c r="P264" s="8">
        <v>0</v>
      </c>
      <c r="Q264" s="8">
        <f t="shared" si="124"/>
        <v>7.3000000000000001E-3</v>
      </c>
      <c r="R264" s="8">
        <f t="shared" si="125"/>
        <v>7.6E-3</v>
      </c>
      <c r="S264" s="49"/>
      <c r="T264" s="49"/>
      <c r="U264" s="49"/>
      <c r="V264" s="49"/>
    </row>
    <row r="265" spans="1:25" ht="76.5" x14ac:dyDescent="0.25">
      <c r="A265" s="1218"/>
      <c r="B265" s="18" t="s">
        <v>256</v>
      </c>
      <c r="C265" s="17" t="s">
        <v>17</v>
      </c>
      <c r="D265" s="8">
        <v>0.05</v>
      </c>
      <c r="E265" s="8">
        <v>0.03</v>
      </c>
      <c r="F265" s="18">
        <v>1.4</v>
      </c>
      <c r="G265" s="8">
        <v>1</v>
      </c>
      <c r="H265" s="8">
        <v>0.01</v>
      </c>
      <c r="I265" s="8" t="s">
        <v>47</v>
      </c>
      <c r="J265" s="8">
        <v>0.5</v>
      </c>
      <c r="K265" s="8">
        <v>0.5</v>
      </c>
      <c r="L265" s="8">
        <v>10</v>
      </c>
      <c r="M265" s="8">
        <f>(13529)*0.1*1.97</f>
        <v>2665.2130000000002</v>
      </c>
      <c r="N265" s="8" t="s">
        <v>16</v>
      </c>
      <c r="O265" s="19" t="s">
        <v>49</v>
      </c>
      <c r="P265" s="8">
        <v>0</v>
      </c>
      <c r="Q265" s="8">
        <f>ROUND(((D265*E265*F265*G265*H265*J265*L265*1000000*K265/3600)*(1-P265)),4)</f>
        <v>1.46E-2</v>
      </c>
      <c r="R265" s="8">
        <f>ROUND((D265*E265*F265*G265*H265*J265*K265*M265*(1-P265)),4)</f>
        <v>1.4E-2</v>
      </c>
      <c r="S265" s="50"/>
      <c r="T265" s="50"/>
      <c r="U265" s="50"/>
      <c r="V265" s="50"/>
      <c r="W265" s="50"/>
      <c r="X265" s="50"/>
      <c r="Y265" s="9"/>
    </row>
    <row r="266" spans="1:25" ht="25.5" x14ac:dyDescent="0.25">
      <c r="A266" s="1218"/>
      <c r="B266" s="20" t="s">
        <v>1041</v>
      </c>
      <c r="C266" s="17" t="s">
        <v>17</v>
      </c>
      <c r="D266" s="8">
        <v>0.05</v>
      </c>
      <c r="E266" s="8">
        <v>0.03</v>
      </c>
      <c r="F266" s="18">
        <v>1.4</v>
      </c>
      <c r="G266" s="8">
        <v>1</v>
      </c>
      <c r="H266" s="8">
        <v>0.01</v>
      </c>
      <c r="I266" s="8" t="s">
        <v>47</v>
      </c>
      <c r="J266" s="8">
        <v>0.5</v>
      </c>
      <c r="K266" s="8">
        <v>0.5</v>
      </c>
      <c r="L266" s="8">
        <v>5</v>
      </c>
      <c r="M266" s="8">
        <v>1998</v>
      </c>
      <c r="N266" s="8" t="s">
        <v>16</v>
      </c>
      <c r="O266" s="19" t="s">
        <v>49</v>
      </c>
      <c r="P266" s="8">
        <v>0</v>
      </c>
      <c r="Q266" s="8">
        <f t="shared" ref="Q266:Q270" si="126">ROUND(((D266*E266*F266*G266*H266*J266*L266*1000000*K266/3600)*(1-P266)),4)</f>
        <v>7.3000000000000001E-3</v>
      </c>
      <c r="R266" s="8">
        <f t="shared" ref="R266:R270" si="127">ROUND((D266*E266*F266*G266*H266*J266*K266*M266*(1-P266)),4)</f>
        <v>1.0500000000000001E-2</v>
      </c>
      <c r="S266" s="50"/>
      <c r="T266" s="49"/>
      <c r="U266" s="49"/>
      <c r="V266" s="49"/>
      <c r="W266" s="49"/>
      <c r="X266" s="49"/>
      <c r="Y266" s="51"/>
    </row>
    <row r="267" spans="1:25" ht="25.5" x14ac:dyDescent="0.25">
      <c r="A267" s="1218"/>
      <c r="B267" s="20" t="s">
        <v>51</v>
      </c>
      <c r="C267" s="17" t="s">
        <v>17</v>
      </c>
      <c r="D267" s="8">
        <v>0.05</v>
      </c>
      <c r="E267" s="8">
        <v>0.03</v>
      </c>
      <c r="F267" s="18">
        <v>1.4</v>
      </c>
      <c r="G267" s="8">
        <v>1</v>
      </c>
      <c r="H267" s="8">
        <v>0.01</v>
      </c>
      <c r="I267" s="8" t="s">
        <v>47</v>
      </c>
      <c r="J267" s="8">
        <v>0.5</v>
      </c>
      <c r="K267" s="8">
        <v>0.5</v>
      </c>
      <c r="L267" s="8">
        <v>10</v>
      </c>
      <c r="M267" s="8">
        <v>3495</v>
      </c>
      <c r="N267" s="8" t="s">
        <v>16</v>
      </c>
      <c r="O267" s="19" t="s">
        <v>49</v>
      </c>
      <c r="P267" s="8">
        <v>0</v>
      </c>
      <c r="Q267" s="8">
        <f t="shared" si="126"/>
        <v>1.46E-2</v>
      </c>
      <c r="R267" s="8">
        <f t="shared" si="127"/>
        <v>1.83E-2</v>
      </c>
      <c r="S267" s="49"/>
      <c r="T267" s="49"/>
      <c r="U267" s="49"/>
      <c r="V267" s="49"/>
      <c r="W267" s="49"/>
      <c r="X267" s="49"/>
      <c r="Y267" s="51"/>
    </row>
    <row r="268" spans="1:25" ht="38.25" x14ac:dyDescent="0.25">
      <c r="A268" s="1218"/>
      <c r="B268" s="20" t="s">
        <v>248</v>
      </c>
      <c r="C268" s="17" t="s">
        <v>17</v>
      </c>
      <c r="D268" s="8">
        <v>0.05</v>
      </c>
      <c r="E268" s="8">
        <v>0.03</v>
      </c>
      <c r="F268" s="18">
        <v>1.4</v>
      </c>
      <c r="G268" s="8">
        <v>1</v>
      </c>
      <c r="H268" s="8">
        <v>0.01</v>
      </c>
      <c r="I268" s="8" t="s">
        <v>47</v>
      </c>
      <c r="J268" s="8">
        <v>0.5</v>
      </c>
      <c r="K268" s="8">
        <v>0.5</v>
      </c>
      <c r="L268" s="8">
        <v>5</v>
      </c>
      <c r="M268" s="8">
        <v>962</v>
      </c>
      <c r="N268" s="8" t="s">
        <v>16</v>
      </c>
      <c r="O268" s="19" t="s">
        <v>49</v>
      </c>
      <c r="P268" s="8">
        <v>0</v>
      </c>
      <c r="Q268" s="8">
        <f t="shared" si="126"/>
        <v>7.3000000000000001E-3</v>
      </c>
      <c r="R268" s="8">
        <f t="shared" si="127"/>
        <v>5.1000000000000004E-3</v>
      </c>
      <c r="S268" s="49"/>
      <c r="T268" s="49"/>
      <c r="U268" s="49"/>
      <c r="V268" s="49"/>
      <c r="W268" s="49"/>
      <c r="X268" s="49"/>
      <c r="Y268" s="51"/>
    </row>
    <row r="269" spans="1:25" ht="25.5" x14ac:dyDescent="0.25">
      <c r="A269" s="1218"/>
      <c r="B269" s="20" t="s">
        <v>438</v>
      </c>
      <c r="C269" s="17" t="s">
        <v>202</v>
      </c>
      <c r="D269" s="8">
        <v>0.05</v>
      </c>
      <c r="E269" s="8">
        <v>0.03</v>
      </c>
      <c r="F269" s="18">
        <v>1.4</v>
      </c>
      <c r="G269" s="8">
        <v>1</v>
      </c>
      <c r="H269" s="8">
        <v>0.01</v>
      </c>
      <c r="I269" s="8" t="s">
        <v>47</v>
      </c>
      <c r="J269" s="8">
        <v>0.5</v>
      </c>
      <c r="K269" s="8">
        <v>0.5</v>
      </c>
      <c r="L269" s="8">
        <v>5</v>
      </c>
      <c r="M269" s="8">
        <v>1058</v>
      </c>
      <c r="N269" s="8" t="s">
        <v>16</v>
      </c>
      <c r="O269" s="19" t="s">
        <v>49</v>
      </c>
      <c r="P269" s="8">
        <v>0</v>
      </c>
      <c r="Q269" s="8">
        <f t="shared" ref="Q269" si="128">ROUND(((D269*E269*F269*G269*H269*J269*L269*1000000*K269/3600)*(1-P269)),4)</f>
        <v>7.3000000000000001E-3</v>
      </c>
      <c r="R269" s="8">
        <f t="shared" ref="R269" si="129">ROUND((D269*E269*F269*G269*H269*J269*K269*M269*(1-P269)),4)</f>
        <v>5.5999999999999999E-3</v>
      </c>
      <c r="S269" s="49"/>
      <c r="T269" s="49"/>
      <c r="U269" s="49"/>
      <c r="V269" s="49"/>
      <c r="W269" s="49"/>
      <c r="X269" s="49"/>
      <c r="Y269" s="51"/>
    </row>
    <row r="270" spans="1:25" ht="38.25" x14ac:dyDescent="0.25">
      <c r="A270" s="1218"/>
      <c r="B270" s="20" t="s">
        <v>1040</v>
      </c>
      <c r="C270" s="17" t="s">
        <v>17</v>
      </c>
      <c r="D270" s="8">
        <v>0.05</v>
      </c>
      <c r="E270" s="8">
        <v>0.03</v>
      </c>
      <c r="F270" s="18">
        <v>1.4</v>
      </c>
      <c r="G270" s="8">
        <v>1</v>
      </c>
      <c r="H270" s="8">
        <v>0.01</v>
      </c>
      <c r="I270" s="8" t="s">
        <v>47</v>
      </c>
      <c r="J270" s="8">
        <v>0.5</v>
      </c>
      <c r="K270" s="8">
        <v>0.5</v>
      </c>
      <c r="L270" s="8">
        <v>5</v>
      </c>
      <c r="M270" s="8">
        <v>2226</v>
      </c>
      <c r="N270" s="8" t="s">
        <v>16</v>
      </c>
      <c r="O270" s="19" t="s">
        <v>49</v>
      </c>
      <c r="P270" s="8">
        <v>0</v>
      </c>
      <c r="Q270" s="8">
        <f t="shared" si="126"/>
        <v>7.3000000000000001E-3</v>
      </c>
      <c r="R270" s="8">
        <f t="shared" si="127"/>
        <v>1.17E-2</v>
      </c>
      <c r="S270" s="49"/>
      <c r="T270" s="49"/>
      <c r="U270" s="49"/>
      <c r="V270" s="49"/>
    </row>
    <row r="271" spans="1:25" x14ac:dyDescent="0.25">
      <c r="A271" s="1206" t="s">
        <v>72</v>
      </c>
      <c r="B271" s="1207"/>
      <c r="C271" s="1207"/>
      <c r="D271" s="1207"/>
      <c r="E271" s="1207"/>
      <c r="F271" s="1207"/>
      <c r="G271" s="1207"/>
      <c r="H271" s="1207"/>
      <c r="I271" s="1207"/>
      <c r="J271" s="1207"/>
      <c r="K271" s="1207"/>
      <c r="L271" s="1207"/>
      <c r="M271" s="1207"/>
      <c r="N271" s="1207"/>
      <c r="O271" s="1207"/>
      <c r="P271" s="1207"/>
      <c r="Q271" s="1207"/>
      <c r="R271" s="1208"/>
      <c r="S271" s="49"/>
      <c r="T271" s="49"/>
      <c r="U271" s="49"/>
      <c r="V271" s="49"/>
    </row>
    <row r="272" spans="1:25" ht="25.5" x14ac:dyDescent="0.25">
      <c r="A272" s="1136" t="s">
        <v>437</v>
      </c>
      <c r="B272" s="1137"/>
      <c r="C272" s="1137"/>
      <c r="D272" s="1137"/>
      <c r="E272" s="1137"/>
      <c r="F272" s="1137"/>
      <c r="G272" s="1137"/>
      <c r="H272" s="1137"/>
      <c r="I272" s="1137"/>
      <c r="J272" s="1137"/>
      <c r="K272" s="1137"/>
      <c r="L272" s="1137"/>
      <c r="M272" s="1138"/>
      <c r="N272" s="194" t="s">
        <v>16</v>
      </c>
      <c r="O272" s="225" t="s">
        <v>49</v>
      </c>
      <c r="P272" s="8"/>
      <c r="Q272" s="194">
        <f>MAX(Q263,Q264,Q265,Q266,Q267,Q268,Q270,Q269)</f>
        <v>1.46E-2</v>
      </c>
      <c r="R272" s="194">
        <f>R263+R264+R265+R266+R267+R268+R270+R269</f>
        <v>8.8000000000000009E-2</v>
      </c>
      <c r="T272" s="49"/>
      <c r="U272" s="49"/>
      <c r="V272" s="49"/>
    </row>
    <row r="273" spans="1:22" x14ac:dyDescent="0.25">
      <c r="A273" s="1171" t="s">
        <v>257</v>
      </c>
      <c r="B273" s="1210"/>
      <c r="C273" s="1210"/>
      <c r="D273" s="1210"/>
      <c r="E273" s="1210"/>
      <c r="F273" s="1210"/>
      <c r="G273" s="1210"/>
      <c r="H273" s="1210"/>
      <c r="I273" s="1210"/>
      <c r="J273" s="1210"/>
      <c r="K273" s="1210"/>
      <c r="L273" s="1210"/>
      <c r="M273" s="1210"/>
      <c r="N273" s="1210"/>
      <c r="O273" s="1210"/>
      <c r="P273" s="1210"/>
      <c r="Q273" s="1210"/>
      <c r="R273" s="1211"/>
      <c r="S273" s="49"/>
      <c r="T273" s="49"/>
      <c r="U273" s="49"/>
      <c r="V273" s="49"/>
    </row>
    <row r="274" spans="1:22" ht="87.75" customHeight="1" x14ac:dyDescent="0.25">
      <c r="A274" s="1253">
        <v>705902</v>
      </c>
      <c r="B274" s="324" t="s">
        <v>258</v>
      </c>
      <c r="C274" s="306" t="s">
        <v>235</v>
      </c>
      <c r="D274" s="312">
        <v>0.02</v>
      </c>
      <c r="E274" s="312">
        <v>0.01</v>
      </c>
      <c r="F274" s="307">
        <v>1.4</v>
      </c>
      <c r="G274" s="312">
        <v>1</v>
      </c>
      <c r="H274" s="312">
        <v>0.01</v>
      </c>
      <c r="I274" s="312" t="s">
        <v>47</v>
      </c>
      <c r="J274" s="312">
        <v>0.5</v>
      </c>
      <c r="K274" s="312">
        <v>0.5</v>
      </c>
      <c r="L274" s="312">
        <v>10</v>
      </c>
      <c r="M274" s="312">
        <v>11137</v>
      </c>
      <c r="N274" s="312" t="s">
        <v>16</v>
      </c>
      <c r="O274" s="325" t="s">
        <v>49</v>
      </c>
      <c r="P274" s="312">
        <v>0.8</v>
      </c>
      <c r="Q274" s="312">
        <f t="shared" ref="Q274:Q276" si="130">ROUND(((D274*E274*F274*G274*H274*J274*L274*1000000*K274/3600)*(1-P274)),4)</f>
        <v>4.0000000000000002E-4</v>
      </c>
      <c r="R274" s="312">
        <f t="shared" ref="R274:R275" si="131">ROUND((D274*E274*F274*G274*H274*J274*K274*M274*(1-P274)),4)</f>
        <v>1.6000000000000001E-3</v>
      </c>
      <c r="S274" s="49"/>
      <c r="T274" s="49"/>
      <c r="U274" s="49"/>
      <c r="V274" s="49"/>
    </row>
    <row r="275" spans="1:22" ht="25.5" x14ac:dyDescent="0.25">
      <c r="A275" s="1254"/>
      <c r="B275" s="307" t="s">
        <v>243</v>
      </c>
      <c r="C275" s="306" t="s">
        <v>17</v>
      </c>
      <c r="D275" s="312">
        <v>0.05</v>
      </c>
      <c r="E275" s="312">
        <v>0.03</v>
      </c>
      <c r="F275" s="307">
        <v>1.4</v>
      </c>
      <c r="G275" s="312">
        <v>1</v>
      </c>
      <c r="H275" s="312">
        <v>0.01</v>
      </c>
      <c r="I275" s="312" t="s">
        <v>47</v>
      </c>
      <c r="J275" s="312">
        <v>0.5</v>
      </c>
      <c r="K275" s="312">
        <v>0.5</v>
      </c>
      <c r="L275" s="312">
        <v>5</v>
      </c>
      <c r="M275" s="312">
        <v>24</v>
      </c>
      <c r="N275" s="312" t="s">
        <v>16</v>
      </c>
      <c r="O275" s="325" t="s">
        <v>49</v>
      </c>
      <c r="P275" s="312">
        <v>0</v>
      </c>
      <c r="Q275" s="312">
        <f t="shared" si="130"/>
        <v>7.3000000000000001E-3</v>
      </c>
      <c r="R275" s="312">
        <f t="shared" si="131"/>
        <v>1E-4</v>
      </c>
      <c r="S275" s="50"/>
      <c r="T275" s="49"/>
      <c r="U275" s="49"/>
      <c r="V275" s="49"/>
    </row>
    <row r="276" spans="1:22" ht="25.5" x14ac:dyDescent="0.25">
      <c r="A276" s="1256"/>
      <c r="B276" s="324" t="s">
        <v>259</v>
      </c>
      <c r="C276" s="306" t="s">
        <v>17</v>
      </c>
      <c r="D276" s="312">
        <v>0.05</v>
      </c>
      <c r="E276" s="312">
        <v>0.03</v>
      </c>
      <c r="F276" s="307">
        <v>1.4</v>
      </c>
      <c r="G276" s="312">
        <v>1</v>
      </c>
      <c r="H276" s="312">
        <v>0.01</v>
      </c>
      <c r="I276" s="312" t="s">
        <v>47</v>
      </c>
      <c r="J276" s="312">
        <v>0.5</v>
      </c>
      <c r="K276" s="312">
        <v>0.5</v>
      </c>
      <c r="L276" s="312">
        <v>1</v>
      </c>
      <c r="M276" s="312">
        <v>9.5</v>
      </c>
      <c r="N276" s="312" t="s">
        <v>16</v>
      </c>
      <c r="O276" s="325" t="s">
        <v>49</v>
      </c>
      <c r="P276" s="312">
        <v>0</v>
      </c>
      <c r="Q276" s="312">
        <f t="shared" si="130"/>
        <v>1.5E-3</v>
      </c>
      <c r="R276" s="312">
        <f>ROUND((D276*E276*F276*G276*H276*J276*K276*M276*(1-P276)),5)</f>
        <v>5.0000000000000002E-5</v>
      </c>
      <c r="S276" s="49"/>
      <c r="T276" s="49"/>
      <c r="U276" s="49"/>
      <c r="V276" s="49"/>
    </row>
    <row r="277" spans="1:22" x14ac:dyDescent="0.25">
      <c r="A277" s="1250" t="s">
        <v>72</v>
      </c>
      <c r="B277" s="1251"/>
      <c r="C277" s="1251"/>
      <c r="D277" s="1251"/>
      <c r="E277" s="1251"/>
      <c r="F277" s="1251"/>
      <c r="G277" s="1251"/>
      <c r="H277" s="1251"/>
      <c r="I277" s="1251"/>
      <c r="J277" s="1251"/>
      <c r="K277" s="1251"/>
      <c r="L277" s="1251"/>
      <c r="M277" s="1251"/>
      <c r="N277" s="1251"/>
      <c r="O277" s="1251"/>
      <c r="P277" s="1251"/>
      <c r="Q277" s="1251"/>
      <c r="R277" s="1252"/>
      <c r="S277" s="49"/>
      <c r="T277" s="49"/>
      <c r="U277" s="49"/>
      <c r="V277" s="49"/>
    </row>
    <row r="278" spans="1:22" ht="25.5" x14ac:dyDescent="0.25">
      <c r="A278" s="1139" t="s">
        <v>444</v>
      </c>
      <c r="B278" s="1140"/>
      <c r="C278" s="1140"/>
      <c r="D278" s="1140"/>
      <c r="E278" s="1140"/>
      <c r="F278" s="1140"/>
      <c r="G278" s="1140"/>
      <c r="H278" s="1140"/>
      <c r="I278" s="1140"/>
      <c r="J278" s="1140"/>
      <c r="K278" s="1140"/>
      <c r="L278" s="1140"/>
      <c r="M278" s="1141"/>
      <c r="N278" s="313" t="s">
        <v>16</v>
      </c>
      <c r="O278" s="326" t="s">
        <v>49</v>
      </c>
      <c r="P278" s="312"/>
      <c r="Q278" s="313">
        <f>MAX(Q274,Q275,Q276)</f>
        <v>7.3000000000000001E-3</v>
      </c>
      <c r="R278" s="313">
        <f>R274+R275+R276</f>
        <v>1.75E-3</v>
      </c>
      <c r="S278" s="49"/>
      <c r="T278" s="49"/>
      <c r="U278" s="49"/>
      <c r="V278" s="49"/>
    </row>
    <row r="279" spans="1:22" x14ac:dyDescent="0.25">
      <c r="A279" s="1171" t="s">
        <v>261</v>
      </c>
      <c r="B279" s="1210"/>
      <c r="C279" s="1210"/>
      <c r="D279" s="1210"/>
      <c r="E279" s="1210"/>
      <c r="F279" s="1210"/>
      <c r="G279" s="1210"/>
      <c r="H279" s="1210"/>
      <c r="I279" s="1210"/>
      <c r="J279" s="1210"/>
      <c r="K279" s="1210"/>
      <c r="L279" s="1210"/>
      <c r="M279" s="1210"/>
      <c r="N279" s="1210"/>
      <c r="O279" s="1210"/>
      <c r="P279" s="1210"/>
      <c r="Q279" s="1210"/>
      <c r="R279" s="1211"/>
      <c r="S279" s="49"/>
      <c r="T279" s="49"/>
      <c r="U279" s="49"/>
      <c r="V279" s="49"/>
    </row>
    <row r="280" spans="1:22" ht="25.5" x14ac:dyDescent="0.25">
      <c r="A280" s="1209">
        <v>707102</v>
      </c>
      <c r="B280" s="20" t="s">
        <v>69</v>
      </c>
      <c r="C280" s="17" t="s">
        <v>17</v>
      </c>
      <c r="D280" s="8">
        <v>0.05</v>
      </c>
      <c r="E280" s="8">
        <v>0.03</v>
      </c>
      <c r="F280" s="18">
        <v>1.4</v>
      </c>
      <c r="G280" s="8">
        <v>1</v>
      </c>
      <c r="H280" s="8">
        <v>0.01</v>
      </c>
      <c r="I280" s="8" t="s">
        <v>47</v>
      </c>
      <c r="J280" s="8">
        <v>0.5</v>
      </c>
      <c r="K280" s="8">
        <v>0.5</v>
      </c>
      <c r="L280" s="8">
        <v>15</v>
      </c>
      <c r="M280" s="8">
        <v>9603</v>
      </c>
      <c r="N280" s="8" t="s">
        <v>16</v>
      </c>
      <c r="O280" s="19" t="s">
        <v>49</v>
      </c>
      <c r="P280" s="8">
        <v>0</v>
      </c>
      <c r="Q280" s="8">
        <f t="shared" ref="Q280:Q285" si="132">ROUND(((D280*E280*F280*G280*H280*J280*L280*1000000*K280/3600)*(1-P280)),4)</f>
        <v>2.1899999999999999E-2</v>
      </c>
      <c r="R280" s="8">
        <f t="shared" ref="R280:R284" si="133">ROUND((D280*E280*F280*G280*H280*J280*K280*M280*(1-P280)),4)</f>
        <v>5.04E-2</v>
      </c>
      <c r="S280" s="49"/>
      <c r="T280" s="49"/>
      <c r="U280" s="49"/>
      <c r="V280" s="49"/>
    </row>
    <row r="281" spans="1:22" ht="25.5" x14ac:dyDescent="0.25">
      <c r="A281" s="1195"/>
      <c r="B281" s="18" t="s">
        <v>70</v>
      </c>
      <c r="C281" s="17" t="s">
        <v>17</v>
      </c>
      <c r="D281" s="8">
        <v>0.05</v>
      </c>
      <c r="E281" s="8">
        <v>0.03</v>
      </c>
      <c r="F281" s="18">
        <v>1.4</v>
      </c>
      <c r="G281" s="8">
        <v>1</v>
      </c>
      <c r="H281" s="8">
        <v>0.01</v>
      </c>
      <c r="I281" s="8" t="s">
        <v>47</v>
      </c>
      <c r="J281" s="8">
        <v>0.5</v>
      </c>
      <c r="K281" s="8">
        <v>0.5</v>
      </c>
      <c r="L281" s="8">
        <v>10</v>
      </c>
      <c r="M281" s="8">
        <v>4802</v>
      </c>
      <c r="N281" s="8" t="s">
        <v>16</v>
      </c>
      <c r="O281" s="19" t="s">
        <v>49</v>
      </c>
      <c r="P281" s="8">
        <v>0</v>
      </c>
      <c r="Q281" s="8">
        <f t="shared" si="132"/>
        <v>1.46E-2</v>
      </c>
      <c r="R281" s="8">
        <f t="shared" si="133"/>
        <v>2.52E-2</v>
      </c>
      <c r="S281" s="49"/>
      <c r="T281" s="49"/>
      <c r="U281" s="49"/>
      <c r="V281" s="49"/>
    </row>
    <row r="282" spans="1:22" ht="25.5" x14ac:dyDescent="0.25">
      <c r="A282" s="1218"/>
      <c r="B282" s="20" t="s">
        <v>234</v>
      </c>
      <c r="C282" s="17" t="s">
        <v>235</v>
      </c>
      <c r="D282" s="8">
        <v>0.02</v>
      </c>
      <c r="E282" s="8">
        <v>0.01</v>
      </c>
      <c r="F282" s="18">
        <v>1.4</v>
      </c>
      <c r="G282" s="8">
        <v>1</v>
      </c>
      <c r="H282" s="8">
        <v>0.01</v>
      </c>
      <c r="I282" s="8" t="s">
        <v>47</v>
      </c>
      <c r="J282" s="8">
        <v>0.5</v>
      </c>
      <c r="K282" s="8">
        <v>0.5</v>
      </c>
      <c r="L282" s="8">
        <v>5</v>
      </c>
      <c r="M282" s="8">
        <v>839</v>
      </c>
      <c r="N282" s="8" t="s">
        <v>16</v>
      </c>
      <c r="O282" s="19" t="s">
        <v>49</v>
      </c>
      <c r="P282" s="8">
        <v>0.8</v>
      </c>
      <c r="Q282" s="8">
        <f t="shared" si="132"/>
        <v>2.0000000000000001E-4</v>
      </c>
      <c r="R282" s="8">
        <f t="shared" si="133"/>
        <v>1E-4</v>
      </c>
      <c r="S282" s="49"/>
      <c r="T282" s="49"/>
      <c r="U282" s="49"/>
      <c r="V282" s="49"/>
    </row>
    <row r="283" spans="1:22" ht="38.25" x14ac:dyDescent="0.25">
      <c r="A283" s="1218"/>
      <c r="B283" s="20" t="s">
        <v>245</v>
      </c>
      <c r="C283" s="17" t="s">
        <v>235</v>
      </c>
      <c r="D283" s="8">
        <v>0.02</v>
      </c>
      <c r="E283" s="8">
        <v>0.01</v>
      </c>
      <c r="F283" s="18">
        <v>1.4</v>
      </c>
      <c r="G283" s="8">
        <v>1</v>
      </c>
      <c r="H283" s="8">
        <v>0.01</v>
      </c>
      <c r="I283" s="8" t="s">
        <v>47</v>
      </c>
      <c r="J283" s="8">
        <v>0.5</v>
      </c>
      <c r="K283" s="8">
        <v>0.5</v>
      </c>
      <c r="L283" s="8">
        <v>10</v>
      </c>
      <c r="M283" s="8">
        <v>3024</v>
      </c>
      <c r="N283" s="8" t="s">
        <v>16</v>
      </c>
      <c r="O283" s="19" t="s">
        <v>49</v>
      </c>
      <c r="P283" s="8">
        <v>0.8</v>
      </c>
      <c r="Q283" s="8">
        <f t="shared" si="132"/>
        <v>4.0000000000000002E-4</v>
      </c>
      <c r="R283" s="8">
        <f t="shared" si="133"/>
        <v>4.0000000000000002E-4</v>
      </c>
      <c r="S283" s="49"/>
      <c r="T283" s="49"/>
      <c r="U283" s="49"/>
      <c r="V283" s="49"/>
    </row>
    <row r="284" spans="1:22" ht="25.5" x14ac:dyDescent="0.25">
      <c r="A284" s="1218"/>
      <c r="B284" s="18" t="s">
        <v>243</v>
      </c>
      <c r="C284" s="17" t="s">
        <v>17</v>
      </c>
      <c r="D284" s="8">
        <v>0.05</v>
      </c>
      <c r="E284" s="8">
        <v>0.03</v>
      </c>
      <c r="F284" s="18">
        <v>1.4</v>
      </c>
      <c r="G284" s="8">
        <v>1</v>
      </c>
      <c r="H284" s="8">
        <v>0.01</v>
      </c>
      <c r="I284" s="8" t="s">
        <v>47</v>
      </c>
      <c r="J284" s="8">
        <v>0.5</v>
      </c>
      <c r="K284" s="8">
        <v>0.5</v>
      </c>
      <c r="L284" s="8">
        <v>5</v>
      </c>
      <c r="M284" s="8">
        <v>24</v>
      </c>
      <c r="N284" s="8" t="s">
        <v>16</v>
      </c>
      <c r="O284" s="19" t="s">
        <v>49</v>
      </c>
      <c r="P284" s="8">
        <v>0</v>
      </c>
      <c r="Q284" s="8">
        <f t="shared" si="132"/>
        <v>7.3000000000000001E-3</v>
      </c>
      <c r="R284" s="8">
        <f t="shared" si="133"/>
        <v>1E-4</v>
      </c>
      <c r="S284" s="49"/>
      <c r="T284" s="49"/>
      <c r="U284" s="49"/>
      <c r="V284" s="49"/>
    </row>
    <row r="285" spans="1:22" ht="25.5" x14ac:dyDescent="0.25">
      <c r="A285" s="1219"/>
      <c r="B285" s="20" t="s">
        <v>259</v>
      </c>
      <c r="C285" s="17" t="s">
        <v>17</v>
      </c>
      <c r="D285" s="8">
        <v>0.05</v>
      </c>
      <c r="E285" s="8">
        <v>0.03</v>
      </c>
      <c r="F285" s="18">
        <v>1.4</v>
      </c>
      <c r="G285" s="8">
        <v>1</v>
      </c>
      <c r="H285" s="8">
        <v>0.01</v>
      </c>
      <c r="I285" s="8" t="s">
        <v>47</v>
      </c>
      <c r="J285" s="8">
        <v>0.5</v>
      </c>
      <c r="K285" s="8">
        <v>0.5</v>
      </c>
      <c r="L285" s="8">
        <v>1</v>
      </c>
      <c r="M285" s="8">
        <v>9.5</v>
      </c>
      <c r="N285" s="8" t="s">
        <v>16</v>
      </c>
      <c r="O285" s="19" t="s">
        <v>49</v>
      </c>
      <c r="P285" s="8">
        <v>0</v>
      </c>
      <c r="Q285" s="8">
        <f t="shared" si="132"/>
        <v>1.5E-3</v>
      </c>
      <c r="R285" s="8">
        <f>ROUND((D285*E285*F285*G285*H285*J285*K285*M285*(1-P285)),5)</f>
        <v>5.0000000000000002E-5</v>
      </c>
      <c r="S285" s="49"/>
      <c r="T285" s="49"/>
      <c r="U285" s="49"/>
      <c r="V285" s="49"/>
    </row>
    <row r="286" spans="1:22" x14ac:dyDescent="0.25">
      <c r="A286" s="1206" t="s">
        <v>72</v>
      </c>
      <c r="B286" s="1207"/>
      <c r="C286" s="1207"/>
      <c r="D286" s="1207"/>
      <c r="E286" s="1207"/>
      <c r="F286" s="1207"/>
      <c r="G286" s="1207"/>
      <c r="H286" s="1207"/>
      <c r="I286" s="1207"/>
      <c r="J286" s="1207"/>
      <c r="K286" s="1207"/>
      <c r="L286" s="1207"/>
      <c r="M286" s="1207"/>
      <c r="N286" s="1207"/>
      <c r="O286" s="1207"/>
      <c r="P286" s="1207"/>
      <c r="Q286" s="1207"/>
      <c r="R286" s="1208"/>
      <c r="S286" s="49"/>
      <c r="T286" s="49"/>
      <c r="U286" s="49"/>
      <c r="V286" s="49"/>
    </row>
    <row r="287" spans="1:22" ht="25.5" x14ac:dyDescent="0.25">
      <c r="A287" s="1136" t="s">
        <v>919</v>
      </c>
      <c r="B287" s="1137"/>
      <c r="C287" s="1137"/>
      <c r="D287" s="1137"/>
      <c r="E287" s="1137"/>
      <c r="F287" s="1137"/>
      <c r="G287" s="1137"/>
      <c r="H287" s="1137"/>
      <c r="I287" s="1137"/>
      <c r="J287" s="1137"/>
      <c r="K287" s="1137"/>
      <c r="L287" s="1137"/>
      <c r="M287" s="1138"/>
      <c r="N287" s="194" t="s">
        <v>16</v>
      </c>
      <c r="O287" s="225" t="s">
        <v>49</v>
      </c>
      <c r="P287" s="8"/>
      <c r="Q287" s="194">
        <f>MAX(Q280,Q281,Q282,Q283,Q284,Q285)</f>
        <v>2.1899999999999999E-2</v>
      </c>
      <c r="R287" s="194">
        <f>R280+R281+R282+R283+R284+R285</f>
        <v>7.6249999999999998E-2</v>
      </c>
      <c r="S287" s="49"/>
      <c r="T287" s="49"/>
      <c r="U287" s="49"/>
      <c r="V287" s="49"/>
    </row>
    <row r="288" spans="1:22" x14ac:dyDescent="0.25">
      <c r="A288" s="1171" t="s">
        <v>264</v>
      </c>
      <c r="B288" s="1210"/>
      <c r="C288" s="1210"/>
      <c r="D288" s="1210"/>
      <c r="E288" s="1210"/>
      <c r="F288" s="1210"/>
      <c r="G288" s="1210"/>
      <c r="H288" s="1210"/>
      <c r="I288" s="1210"/>
      <c r="J288" s="1210"/>
      <c r="K288" s="1210"/>
      <c r="L288" s="1210"/>
      <c r="M288" s="1210"/>
      <c r="N288" s="1210"/>
      <c r="O288" s="1210"/>
      <c r="P288" s="1210"/>
      <c r="Q288" s="1210"/>
      <c r="R288" s="1211"/>
      <c r="S288" s="49"/>
      <c r="T288" s="49"/>
      <c r="U288" s="49"/>
      <c r="V288" s="49"/>
    </row>
    <row r="289" spans="1:22" ht="25.5" x14ac:dyDescent="0.25">
      <c r="A289" s="1209">
        <v>707703</v>
      </c>
      <c r="B289" s="20" t="s">
        <v>268</v>
      </c>
      <c r="C289" s="17" t="s">
        <v>17</v>
      </c>
      <c r="D289" s="8">
        <v>0.05</v>
      </c>
      <c r="E289" s="8">
        <v>0.03</v>
      </c>
      <c r="F289" s="18">
        <v>1.4</v>
      </c>
      <c r="G289" s="8">
        <v>1</v>
      </c>
      <c r="H289" s="8">
        <v>0.01</v>
      </c>
      <c r="I289" s="8" t="s">
        <v>47</v>
      </c>
      <c r="J289" s="8">
        <v>0.5</v>
      </c>
      <c r="K289" s="8">
        <v>0.5</v>
      </c>
      <c r="L289" s="8">
        <v>5</v>
      </c>
      <c r="M289" s="8">
        <v>231</v>
      </c>
      <c r="N289" s="8" t="s">
        <v>16</v>
      </c>
      <c r="O289" s="19" t="s">
        <v>49</v>
      </c>
      <c r="P289" s="8">
        <v>0</v>
      </c>
      <c r="Q289" s="8">
        <f t="shared" ref="Q289:Q291" si="134">ROUND(((D289*E289*F289*G289*H289*J289*L289*1000000*K289/3600)*(1-P289)),4)</f>
        <v>7.3000000000000001E-3</v>
      </c>
      <c r="R289" s="8">
        <f t="shared" ref="R289:R291" si="135">ROUND((D289*E289*F289*G289*H289*J289*K289*M289*(1-P289)),4)</f>
        <v>1.1999999999999999E-3</v>
      </c>
      <c r="S289" s="49"/>
      <c r="T289" s="49"/>
      <c r="U289" s="49"/>
      <c r="V289" s="49"/>
    </row>
    <row r="290" spans="1:22" ht="25.5" x14ac:dyDescent="0.25">
      <c r="A290" s="1195"/>
      <c r="B290" s="18" t="s">
        <v>70</v>
      </c>
      <c r="C290" s="17" t="s">
        <v>17</v>
      </c>
      <c r="D290" s="8">
        <v>0.05</v>
      </c>
      <c r="E290" s="8">
        <v>0.03</v>
      </c>
      <c r="F290" s="18">
        <v>1.4</v>
      </c>
      <c r="G290" s="8">
        <v>1</v>
      </c>
      <c r="H290" s="8">
        <v>0.01</v>
      </c>
      <c r="I290" s="8" t="s">
        <v>47</v>
      </c>
      <c r="J290" s="8">
        <v>0.5</v>
      </c>
      <c r="K290" s="8">
        <v>0.5</v>
      </c>
      <c r="L290" s="8">
        <v>5</v>
      </c>
      <c r="M290" s="8">
        <v>92</v>
      </c>
      <c r="N290" s="8" t="s">
        <v>16</v>
      </c>
      <c r="O290" s="19" t="s">
        <v>49</v>
      </c>
      <c r="P290" s="8">
        <v>0</v>
      </c>
      <c r="Q290" s="8">
        <f t="shared" si="134"/>
        <v>7.3000000000000001E-3</v>
      </c>
      <c r="R290" s="8">
        <f t="shared" si="135"/>
        <v>5.0000000000000001E-4</v>
      </c>
      <c r="S290" s="49"/>
      <c r="T290" s="49"/>
      <c r="U290" s="49"/>
      <c r="V290" s="49"/>
    </row>
    <row r="291" spans="1:22" ht="25.5" x14ac:dyDescent="0.25">
      <c r="A291" s="1218"/>
      <c r="B291" s="20" t="s">
        <v>234</v>
      </c>
      <c r="C291" s="17" t="s">
        <v>235</v>
      </c>
      <c r="D291" s="8">
        <v>0.02</v>
      </c>
      <c r="E291" s="8">
        <v>0.01</v>
      </c>
      <c r="F291" s="18">
        <v>1.4</v>
      </c>
      <c r="G291" s="8">
        <v>1</v>
      </c>
      <c r="H291" s="8">
        <v>0.01</v>
      </c>
      <c r="I291" s="8" t="s">
        <v>47</v>
      </c>
      <c r="J291" s="8">
        <v>0.5</v>
      </c>
      <c r="K291" s="8">
        <v>0.5</v>
      </c>
      <c r="L291" s="8">
        <v>5</v>
      </c>
      <c r="M291" s="8">
        <v>72</v>
      </c>
      <c r="N291" s="8" t="s">
        <v>16</v>
      </c>
      <c r="O291" s="19" t="s">
        <v>49</v>
      </c>
      <c r="P291" s="8">
        <v>0</v>
      </c>
      <c r="Q291" s="8">
        <f t="shared" si="134"/>
        <v>1E-3</v>
      </c>
      <c r="R291" s="8">
        <f t="shared" si="135"/>
        <v>1E-4</v>
      </c>
      <c r="S291" s="49"/>
      <c r="T291" s="49"/>
      <c r="U291" s="49"/>
      <c r="V291" s="49"/>
    </row>
    <row r="292" spans="1:22" x14ac:dyDescent="0.25">
      <c r="A292" s="1206" t="s">
        <v>72</v>
      </c>
      <c r="B292" s="1207"/>
      <c r="C292" s="1207"/>
      <c r="D292" s="1207"/>
      <c r="E292" s="1207"/>
      <c r="F292" s="1207"/>
      <c r="G292" s="1207"/>
      <c r="H292" s="1207"/>
      <c r="I292" s="1207"/>
      <c r="J292" s="1207"/>
      <c r="K292" s="1207"/>
      <c r="L292" s="1207"/>
      <c r="M292" s="1207"/>
      <c r="N292" s="1207"/>
      <c r="O292" s="1207"/>
      <c r="P292" s="1207"/>
      <c r="Q292" s="1207"/>
      <c r="R292" s="1208"/>
      <c r="S292" s="49"/>
      <c r="T292" s="49"/>
      <c r="U292" s="49"/>
      <c r="V292" s="49"/>
    </row>
    <row r="293" spans="1:22" ht="25.5" x14ac:dyDescent="0.25">
      <c r="A293" s="1136" t="s">
        <v>472</v>
      </c>
      <c r="B293" s="1137"/>
      <c r="C293" s="1137"/>
      <c r="D293" s="1137"/>
      <c r="E293" s="1137"/>
      <c r="F293" s="1137"/>
      <c r="G293" s="1137"/>
      <c r="H293" s="1137"/>
      <c r="I293" s="1137"/>
      <c r="J293" s="1137"/>
      <c r="K293" s="1137"/>
      <c r="L293" s="1137"/>
      <c r="M293" s="1138"/>
      <c r="N293" s="194" t="s">
        <v>16</v>
      </c>
      <c r="O293" s="225" t="s">
        <v>49</v>
      </c>
      <c r="P293" s="8"/>
      <c r="Q293" s="194">
        <f>MAX(Q289,Q290,Q291)</f>
        <v>7.3000000000000001E-3</v>
      </c>
      <c r="R293" s="194">
        <f>R289+R290+R291</f>
        <v>1.8E-3</v>
      </c>
      <c r="S293" s="49"/>
      <c r="T293" s="49"/>
      <c r="U293" s="49"/>
      <c r="V293" s="49"/>
    </row>
    <row r="294" spans="1:22" x14ac:dyDescent="0.25">
      <c r="A294" s="1171" t="s">
        <v>276</v>
      </c>
      <c r="B294" s="1210"/>
      <c r="C294" s="1210"/>
      <c r="D294" s="1210"/>
      <c r="E294" s="1210"/>
      <c r="F294" s="1210"/>
      <c r="G294" s="1210"/>
      <c r="H294" s="1210"/>
      <c r="I294" s="1210"/>
      <c r="J294" s="1210"/>
      <c r="K294" s="1210"/>
      <c r="L294" s="1210"/>
      <c r="M294" s="1210"/>
      <c r="N294" s="1210"/>
      <c r="O294" s="1210"/>
      <c r="P294" s="1210"/>
      <c r="Q294" s="1210"/>
      <c r="R294" s="1211"/>
      <c r="S294" s="49"/>
      <c r="T294" s="49"/>
      <c r="U294" s="49"/>
      <c r="V294" s="49"/>
    </row>
    <row r="295" spans="1:22" ht="25.5" x14ac:dyDescent="0.25">
      <c r="A295" s="1192">
        <v>708403</v>
      </c>
      <c r="B295" s="20" t="s">
        <v>268</v>
      </c>
      <c r="C295" s="17" t="s">
        <v>17</v>
      </c>
      <c r="D295" s="8">
        <v>0.05</v>
      </c>
      <c r="E295" s="8">
        <v>0.03</v>
      </c>
      <c r="F295" s="18">
        <v>1.4</v>
      </c>
      <c r="G295" s="8">
        <v>1</v>
      </c>
      <c r="H295" s="8">
        <v>0.01</v>
      </c>
      <c r="I295" s="8" t="s">
        <v>47</v>
      </c>
      <c r="J295" s="8">
        <v>0.5</v>
      </c>
      <c r="K295" s="8">
        <v>0.5</v>
      </c>
      <c r="L295" s="8">
        <v>10</v>
      </c>
      <c r="M295" s="8">
        <v>709</v>
      </c>
      <c r="N295" s="8" t="s">
        <v>16</v>
      </c>
      <c r="O295" s="19" t="s">
        <v>49</v>
      </c>
      <c r="P295" s="8">
        <v>0</v>
      </c>
      <c r="Q295" s="8">
        <f t="shared" ref="Q295:Q296" si="136">ROUND(((D295*E295*F295*G295*H295*J295*L295*1000000*K295/3600)*(1-P295)),4)</f>
        <v>1.46E-2</v>
      </c>
      <c r="R295" s="8">
        <f t="shared" ref="R295:R296" si="137">ROUND((D295*E295*F295*G295*H295*J295*K295*M295*(1-P295)),4)</f>
        <v>3.7000000000000002E-3</v>
      </c>
      <c r="S295" s="49"/>
      <c r="T295" s="49"/>
      <c r="U295" s="49"/>
      <c r="V295" s="49"/>
    </row>
    <row r="296" spans="1:22" ht="25.5" x14ac:dyDescent="0.25">
      <c r="A296" s="1238"/>
      <c r="B296" s="18" t="s">
        <v>70</v>
      </c>
      <c r="C296" s="17" t="s">
        <v>17</v>
      </c>
      <c r="D296" s="8">
        <v>0.05</v>
      </c>
      <c r="E296" s="8">
        <v>0.03</v>
      </c>
      <c r="F296" s="18">
        <v>1.4</v>
      </c>
      <c r="G296" s="8">
        <v>1</v>
      </c>
      <c r="H296" s="8">
        <v>0.01</v>
      </c>
      <c r="I296" s="8" t="s">
        <v>47</v>
      </c>
      <c r="J296" s="8">
        <v>0.5</v>
      </c>
      <c r="K296" s="8">
        <v>0.5</v>
      </c>
      <c r="L296" s="8">
        <v>5</v>
      </c>
      <c r="M296" s="8">
        <v>284</v>
      </c>
      <c r="N296" s="8" t="s">
        <v>16</v>
      </c>
      <c r="O296" s="19" t="s">
        <v>49</v>
      </c>
      <c r="P296" s="8">
        <v>0</v>
      </c>
      <c r="Q296" s="8">
        <f t="shared" si="136"/>
        <v>7.3000000000000001E-3</v>
      </c>
      <c r="R296" s="8">
        <f t="shared" si="137"/>
        <v>1.5E-3</v>
      </c>
      <c r="S296" s="49"/>
      <c r="T296" s="49"/>
      <c r="U296" s="49"/>
      <c r="V296" s="49"/>
    </row>
    <row r="297" spans="1:22" x14ac:dyDescent="0.25">
      <c r="A297" s="1206" t="s">
        <v>72</v>
      </c>
      <c r="B297" s="1207"/>
      <c r="C297" s="1207"/>
      <c r="D297" s="1207"/>
      <c r="E297" s="1207"/>
      <c r="F297" s="1207"/>
      <c r="G297" s="1207"/>
      <c r="H297" s="1207"/>
      <c r="I297" s="1207"/>
      <c r="J297" s="1207"/>
      <c r="K297" s="1207"/>
      <c r="L297" s="1207"/>
      <c r="M297" s="1207"/>
      <c r="N297" s="1207"/>
      <c r="O297" s="1207"/>
      <c r="P297" s="1207"/>
      <c r="Q297" s="1207"/>
      <c r="R297" s="1208"/>
      <c r="S297" s="49"/>
      <c r="T297" s="49"/>
      <c r="U297" s="49"/>
      <c r="V297" s="49"/>
    </row>
    <row r="298" spans="1:22" ht="25.5" x14ac:dyDescent="0.25">
      <c r="A298" s="1136" t="s">
        <v>481</v>
      </c>
      <c r="B298" s="1137"/>
      <c r="C298" s="1137"/>
      <c r="D298" s="1137"/>
      <c r="E298" s="1137"/>
      <c r="F298" s="1137"/>
      <c r="G298" s="1137"/>
      <c r="H298" s="1137"/>
      <c r="I298" s="1137"/>
      <c r="J298" s="1137"/>
      <c r="K298" s="1137"/>
      <c r="L298" s="1137"/>
      <c r="M298" s="1138"/>
      <c r="N298" s="194" t="s">
        <v>16</v>
      </c>
      <c r="O298" s="225" t="s">
        <v>49</v>
      </c>
      <c r="P298" s="8"/>
      <c r="Q298" s="194">
        <f>MAX(Q295,Q296)</f>
        <v>1.46E-2</v>
      </c>
      <c r="R298" s="194">
        <f>R295+R296</f>
        <v>5.1999999999999998E-3</v>
      </c>
      <c r="S298" s="49"/>
      <c r="T298" s="49"/>
      <c r="U298" s="49"/>
      <c r="V298" s="49"/>
    </row>
    <row r="299" spans="1:22" x14ac:dyDescent="0.25">
      <c r="A299" s="1171" t="s">
        <v>291</v>
      </c>
      <c r="B299" s="1210"/>
      <c r="C299" s="1210"/>
      <c r="D299" s="1210"/>
      <c r="E299" s="1210"/>
      <c r="F299" s="1210"/>
      <c r="G299" s="1210"/>
      <c r="H299" s="1210"/>
      <c r="I299" s="1210"/>
      <c r="J299" s="1210"/>
      <c r="K299" s="1210"/>
      <c r="L299" s="1210"/>
      <c r="M299" s="1210"/>
      <c r="N299" s="1210"/>
      <c r="O299" s="1210"/>
      <c r="P299" s="1210"/>
      <c r="Q299" s="1210"/>
      <c r="R299" s="1211"/>
      <c r="S299" s="49"/>
      <c r="T299" s="49"/>
      <c r="U299" s="49"/>
      <c r="V299" s="49"/>
    </row>
    <row r="300" spans="1:22" ht="38.25" x14ac:dyDescent="0.25">
      <c r="A300" s="1192">
        <v>7108</v>
      </c>
      <c r="B300" s="20" t="s">
        <v>296</v>
      </c>
      <c r="C300" s="17" t="s">
        <v>17</v>
      </c>
      <c r="D300" s="8">
        <v>0.05</v>
      </c>
      <c r="E300" s="8">
        <v>0.03</v>
      </c>
      <c r="F300" s="18">
        <v>1.4</v>
      </c>
      <c r="G300" s="8">
        <v>1</v>
      </c>
      <c r="H300" s="8">
        <v>0.01</v>
      </c>
      <c r="I300" s="8" t="s">
        <v>47</v>
      </c>
      <c r="J300" s="8">
        <v>0.5</v>
      </c>
      <c r="K300" s="8">
        <v>0.5</v>
      </c>
      <c r="L300" s="8">
        <v>2</v>
      </c>
      <c r="M300" s="8">
        <v>183</v>
      </c>
      <c r="N300" s="8" t="s">
        <v>16</v>
      </c>
      <c r="O300" s="19" t="s">
        <v>49</v>
      </c>
      <c r="P300" s="8">
        <v>0</v>
      </c>
      <c r="Q300" s="8">
        <f t="shared" ref="Q300:Q305" si="138">ROUND(((D300*E300*F300*G300*H300*J300*L300*1000000*K300/3600)*(1-P300)),4)</f>
        <v>2.8999999999999998E-3</v>
      </c>
      <c r="R300" s="8">
        <f t="shared" ref="R300:R305" si="139">ROUND((D300*E300*F300*G300*H300*J300*K300*M300*(1-P300)),4)</f>
        <v>1E-3</v>
      </c>
      <c r="S300" s="50"/>
      <c r="T300" s="49"/>
      <c r="U300" s="49"/>
      <c r="V300" s="49"/>
    </row>
    <row r="301" spans="1:22" ht="38.25" x14ac:dyDescent="0.25">
      <c r="A301" s="1238"/>
      <c r="B301" s="18" t="s">
        <v>297</v>
      </c>
      <c r="C301" s="17" t="s">
        <v>17</v>
      </c>
      <c r="D301" s="8">
        <v>0.05</v>
      </c>
      <c r="E301" s="8">
        <v>0.03</v>
      </c>
      <c r="F301" s="18">
        <v>1.4</v>
      </c>
      <c r="G301" s="8">
        <v>1</v>
      </c>
      <c r="H301" s="8">
        <v>0.01</v>
      </c>
      <c r="I301" s="8" t="s">
        <v>47</v>
      </c>
      <c r="J301" s="8">
        <v>0.5</v>
      </c>
      <c r="K301" s="8">
        <v>0.5</v>
      </c>
      <c r="L301" s="8">
        <v>2</v>
      </c>
      <c r="M301" s="8">
        <v>183</v>
      </c>
      <c r="N301" s="8" t="s">
        <v>16</v>
      </c>
      <c r="O301" s="19" t="s">
        <v>49</v>
      </c>
      <c r="P301" s="8">
        <v>0</v>
      </c>
      <c r="Q301" s="8">
        <f t="shared" si="138"/>
        <v>2.8999999999999998E-3</v>
      </c>
      <c r="R301" s="8">
        <f t="shared" si="139"/>
        <v>1E-3</v>
      </c>
      <c r="S301" s="50"/>
      <c r="T301" s="49"/>
      <c r="U301" s="49"/>
      <c r="V301" s="49"/>
    </row>
    <row r="302" spans="1:22" ht="38.25" x14ac:dyDescent="0.25">
      <c r="A302" s="1238"/>
      <c r="B302" s="20" t="s">
        <v>245</v>
      </c>
      <c r="C302" s="17" t="s">
        <v>235</v>
      </c>
      <c r="D302" s="8">
        <v>0.02</v>
      </c>
      <c r="E302" s="8">
        <v>0.01</v>
      </c>
      <c r="F302" s="18">
        <v>1.4</v>
      </c>
      <c r="G302" s="8">
        <v>1</v>
      </c>
      <c r="H302" s="8">
        <v>0.01</v>
      </c>
      <c r="I302" s="8" t="s">
        <v>47</v>
      </c>
      <c r="J302" s="8">
        <v>0.5</v>
      </c>
      <c r="K302" s="8">
        <v>0.5</v>
      </c>
      <c r="L302" s="8">
        <v>5</v>
      </c>
      <c r="M302" s="8">
        <v>1323</v>
      </c>
      <c r="N302" s="8" t="s">
        <v>16</v>
      </c>
      <c r="O302" s="19" t="s">
        <v>49</v>
      </c>
      <c r="P302" s="8">
        <v>0.8</v>
      </c>
      <c r="Q302" s="8">
        <f t="shared" si="138"/>
        <v>2.0000000000000001E-4</v>
      </c>
      <c r="R302" s="8">
        <f t="shared" si="139"/>
        <v>2.0000000000000001E-4</v>
      </c>
      <c r="S302" s="50"/>
      <c r="T302" s="49"/>
      <c r="U302" s="49"/>
      <c r="V302" s="49"/>
    </row>
    <row r="303" spans="1:22" ht="38.25" x14ac:dyDescent="0.25">
      <c r="A303" s="1238"/>
      <c r="B303" s="20" t="s">
        <v>245</v>
      </c>
      <c r="C303" s="17" t="s">
        <v>343</v>
      </c>
      <c r="D303" s="8">
        <v>0.04</v>
      </c>
      <c r="E303" s="8">
        <v>0.02</v>
      </c>
      <c r="F303" s="18">
        <v>1.4</v>
      </c>
      <c r="G303" s="8">
        <v>1</v>
      </c>
      <c r="H303" s="8">
        <v>0.01</v>
      </c>
      <c r="I303" s="8" t="s">
        <v>47</v>
      </c>
      <c r="J303" s="8">
        <v>0.4</v>
      </c>
      <c r="K303" s="8">
        <v>0.5</v>
      </c>
      <c r="L303" s="8">
        <v>5</v>
      </c>
      <c r="M303" s="8">
        <v>4129</v>
      </c>
      <c r="N303" s="8" t="s">
        <v>16</v>
      </c>
      <c r="O303" s="19" t="s">
        <v>49</v>
      </c>
      <c r="P303" s="8">
        <v>0.8</v>
      </c>
      <c r="Q303" s="8">
        <f t="shared" ref="Q303" si="140">ROUND(((D303*E303*F303*G303*H303*J303*L303*1000000*K303/3600)*(1-P303)),4)</f>
        <v>5.9999999999999995E-4</v>
      </c>
      <c r="R303" s="8">
        <f t="shared" ref="R303" si="141">ROUND((D303*E303*F303*G303*H303*J303*K303*M303*(1-P303)),4)</f>
        <v>1.8E-3</v>
      </c>
      <c r="S303" s="50"/>
      <c r="T303" s="49"/>
      <c r="U303" s="49"/>
      <c r="V303" s="49"/>
    </row>
    <row r="304" spans="1:22" ht="25.5" x14ac:dyDescent="0.25">
      <c r="A304" s="1238"/>
      <c r="B304" s="20" t="s">
        <v>289</v>
      </c>
      <c r="C304" s="17" t="s">
        <v>17</v>
      </c>
      <c r="D304" s="8">
        <v>0.05</v>
      </c>
      <c r="E304" s="8">
        <v>0.03</v>
      </c>
      <c r="F304" s="18">
        <v>1.4</v>
      </c>
      <c r="G304" s="8">
        <v>1</v>
      </c>
      <c r="H304" s="8">
        <v>0.01</v>
      </c>
      <c r="I304" s="8" t="s">
        <v>47</v>
      </c>
      <c r="J304" s="8">
        <v>0.5</v>
      </c>
      <c r="K304" s="8">
        <v>0.5</v>
      </c>
      <c r="L304" s="8">
        <v>5</v>
      </c>
      <c r="M304" s="8">
        <v>177</v>
      </c>
      <c r="N304" s="8" t="s">
        <v>16</v>
      </c>
      <c r="O304" s="19" t="s">
        <v>49</v>
      </c>
      <c r="P304" s="8">
        <v>0</v>
      </c>
      <c r="Q304" s="8">
        <f t="shared" si="138"/>
        <v>7.3000000000000001E-3</v>
      </c>
      <c r="R304" s="8">
        <f t="shared" si="139"/>
        <v>8.9999999999999998E-4</v>
      </c>
      <c r="S304" s="50"/>
      <c r="T304" s="49"/>
      <c r="U304" s="49"/>
      <c r="V304" s="49"/>
    </row>
    <row r="305" spans="1:123" ht="25.5" x14ac:dyDescent="0.25">
      <c r="A305" s="1239"/>
      <c r="B305" s="18" t="s">
        <v>70</v>
      </c>
      <c r="C305" s="17" t="s">
        <v>17</v>
      </c>
      <c r="D305" s="8">
        <v>0.05</v>
      </c>
      <c r="E305" s="8">
        <v>0.03</v>
      </c>
      <c r="F305" s="18">
        <v>1.4</v>
      </c>
      <c r="G305" s="8">
        <v>1</v>
      </c>
      <c r="H305" s="8">
        <v>0.01</v>
      </c>
      <c r="I305" s="8" t="s">
        <v>47</v>
      </c>
      <c r="J305" s="8">
        <v>0.5</v>
      </c>
      <c r="K305" s="8">
        <v>0.5</v>
      </c>
      <c r="L305" s="8">
        <v>5</v>
      </c>
      <c r="M305" s="8">
        <v>124</v>
      </c>
      <c r="N305" s="8" t="s">
        <v>16</v>
      </c>
      <c r="O305" s="19" t="s">
        <v>49</v>
      </c>
      <c r="P305" s="8">
        <v>0</v>
      </c>
      <c r="Q305" s="8">
        <f t="shared" si="138"/>
        <v>7.3000000000000001E-3</v>
      </c>
      <c r="R305" s="8">
        <f t="shared" si="139"/>
        <v>6.9999999999999999E-4</v>
      </c>
      <c r="S305" s="50"/>
      <c r="T305" s="49"/>
      <c r="U305" s="49"/>
      <c r="V305" s="49"/>
    </row>
    <row r="306" spans="1:123" x14ac:dyDescent="0.25">
      <c r="A306" s="1206" t="s">
        <v>72</v>
      </c>
      <c r="B306" s="1207"/>
      <c r="C306" s="1207"/>
      <c r="D306" s="1207"/>
      <c r="E306" s="1207"/>
      <c r="F306" s="1207"/>
      <c r="G306" s="1207"/>
      <c r="H306" s="1207"/>
      <c r="I306" s="1207"/>
      <c r="J306" s="1207"/>
      <c r="K306" s="1207"/>
      <c r="L306" s="1207"/>
      <c r="M306" s="1207"/>
      <c r="N306" s="1207"/>
      <c r="O306" s="1207"/>
      <c r="P306" s="1207"/>
      <c r="Q306" s="1207"/>
      <c r="R306" s="1208"/>
      <c r="S306" s="49"/>
      <c r="T306" s="49"/>
      <c r="U306" s="49"/>
      <c r="V306" s="49"/>
    </row>
    <row r="307" spans="1:123" ht="25.5" x14ac:dyDescent="0.25">
      <c r="A307" s="1136" t="s">
        <v>501</v>
      </c>
      <c r="B307" s="1137"/>
      <c r="C307" s="1137"/>
      <c r="D307" s="1137"/>
      <c r="E307" s="1137"/>
      <c r="F307" s="1137"/>
      <c r="G307" s="1137"/>
      <c r="H307" s="1137"/>
      <c r="I307" s="1137"/>
      <c r="J307" s="1137"/>
      <c r="K307" s="1137"/>
      <c r="L307" s="1137"/>
      <c r="M307" s="1138"/>
      <c r="N307" s="194" t="s">
        <v>16</v>
      </c>
      <c r="O307" s="225" t="s">
        <v>49</v>
      </c>
      <c r="P307" s="8"/>
      <c r="Q307" s="194">
        <f>MAX(Q300,Q301,Q302,Q304,Q305,Q303)</f>
        <v>7.3000000000000001E-3</v>
      </c>
      <c r="R307" s="194">
        <f>R300+R301+R302+R304+R305+R303</f>
        <v>5.6000000000000008E-3</v>
      </c>
      <c r="S307" s="49"/>
      <c r="T307" s="49"/>
      <c r="U307" s="49"/>
      <c r="V307" s="49"/>
    </row>
    <row r="308" spans="1:123" x14ac:dyDescent="0.25">
      <c r="A308" s="1171" t="s">
        <v>302</v>
      </c>
      <c r="B308" s="1210"/>
      <c r="C308" s="1210"/>
      <c r="D308" s="1210"/>
      <c r="E308" s="1210"/>
      <c r="F308" s="1210"/>
      <c r="G308" s="1210"/>
      <c r="H308" s="1210"/>
      <c r="I308" s="1210"/>
      <c r="J308" s="1210"/>
      <c r="K308" s="1210"/>
      <c r="L308" s="1210"/>
      <c r="M308" s="1210"/>
      <c r="N308" s="1210"/>
      <c r="O308" s="1210"/>
      <c r="P308" s="1210"/>
      <c r="Q308" s="1210"/>
      <c r="R308" s="1211"/>
      <c r="S308" s="49"/>
      <c r="T308" s="49"/>
      <c r="U308" s="49"/>
      <c r="V308" s="49"/>
    </row>
    <row r="309" spans="1:123" ht="38.25" x14ac:dyDescent="0.25">
      <c r="A309" s="1225">
        <v>711503</v>
      </c>
      <c r="B309" s="18" t="s">
        <v>1062</v>
      </c>
      <c r="C309" s="17" t="s">
        <v>17</v>
      </c>
      <c r="D309" s="8">
        <v>0.05</v>
      </c>
      <c r="E309" s="8">
        <v>0.03</v>
      </c>
      <c r="F309" s="18">
        <v>1.4</v>
      </c>
      <c r="G309" s="8">
        <v>1</v>
      </c>
      <c r="H309" s="8">
        <v>0.01</v>
      </c>
      <c r="I309" s="8" t="s">
        <v>47</v>
      </c>
      <c r="J309" s="8">
        <v>0.5</v>
      </c>
      <c r="K309" s="8">
        <v>0.5</v>
      </c>
      <c r="L309" s="8">
        <v>5</v>
      </c>
      <c r="M309" s="8">
        <f>(1150)*0.1*1.97</f>
        <v>226.54999999999998</v>
      </c>
      <c r="N309" s="8" t="s">
        <v>16</v>
      </c>
      <c r="O309" s="19" t="s">
        <v>49</v>
      </c>
      <c r="P309" s="8">
        <v>0</v>
      </c>
      <c r="Q309" s="8">
        <f>ROUND(((D309*E309*F309*G309*H309*J309*L309*1000000*K309/3600)*(1-P309)),4)</f>
        <v>7.3000000000000001E-3</v>
      </c>
      <c r="R309" s="8">
        <f>ROUND((D309*E309*F309*G309*H309*J309*K309*M309*(1-P309)),4)</f>
        <v>1.1999999999999999E-3</v>
      </c>
      <c r="X309" s="48"/>
    </row>
    <row r="310" spans="1:123" ht="51" x14ac:dyDescent="0.25">
      <c r="A310" s="1226"/>
      <c r="B310" s="20" t="s">
        <v>1061</v>
      </c>
      <c r="C310" s="17" t="s">
        <v>17</v>
      </c>
      <c r="D310" s="8">
        <v>0.05</v>
      </c>
      <c r="E310" s="8">
        <v>0.03</v>
      </c>
      <c r="F310" s="18">
        <v>1.4</v>
      </c>
      <c r="G310" s="8">
        <v>1</v>
      </c>
      <c r="H310" s="8">
        <v>0.01</v>
      </c>
      <c r="I310" s="8" t="s">
        <v>47</v>
      </c>
      <c r="J310" s="8">
        <v>0.5</v>
      </c>
      <c r="K310" s="8">
        <v>0.5</v>
      </c>
      <c r="L310" s="8">
        <v>5</v>
      </c>
      <c r="M310" s="8">
        <v>10871</v>
      </c>
      <c r="N310" s="8" t="s">
        <v>16</v>
      </c>
      <c r="O310" s="19" t="s">
        <v>49</v>
      </c>
      <c r="P310" s="8">
        <v>0</v>
      </c>
      <c r="Q310" s="8">
        <f t="shared" ref="Q310:Q313" si="142">ROUND(((D310*E310*F310*G310*H310*J310*L310*1000000*K310/3600)*(1-P310)),4)</f>
        <v>7.3000000000000001E-3</v>
      </c>
      <c r="R310" s="8">
        <f t="shared" ref="R310:R313" si="143">ROUND((D310*E310*F310*G310*H310*J310*K310*M310*(1-P310)),4)</f>
        <v>5.7099999999999998E-2</v>
      </c>
      <c r="S310" s="49"/>
      <c r="T310" s="49"/>
      <c r="U310" s="49"/>
      <c r="V310" s="49"/>
      <c r="W310" s="49"/>
      <c r="X310" s="50"/>
    </row>
    <row r="311" spans="1:123" ht="51" x14ac:dyDescent="0.25">
      <c r="A311" s="1226"/>
      <c r="B311" s="20" t="s">
        <v>1060</v>
      </c>
      <c r="C311" s="17" t="s">
        <v>17</v>
      </c>
      <c r="D311" s="8">
        <v>0.05</v>
      </c>
      <c r="E311" s="8">
        <v>0.03</v>
      </c>
      <c r="F311" s="18">
        <v>1.4</v>
      </c>
      <c r="G311" s="8">
        <v>1</v>
      </c>
      <c r="H311" s="8">
        <v>0.01</v>
      </c>
      <c r="I311" s="8" t="s">
        <v>47</v>
      </c>
      <c r="J311" s="8">
        <v>0.5</v>
      </c>
      <c r="K311" s="8">
        <v>0.5</v>
      </c>
      <c r="L311" s="8">
        <v>5</v>
      </c>
      <c r="M311" s="8">
        <v>246</v>
      </c>
      <c r="N311" s="8" t="s">
        <v>16</v>
      </c>
      <c r="O311" s="19" t="s">
        <v>49</v>
      </c>
      <c r="P311" s="8">
        <v>0</v>
      </c>
      <c r="Q311" s="8">
        <f t="shared" si="142"/>
        <v>7.3000000000000001E-3</v>
      </c>
      <c r="R311" s="8">
        <f t="shared" si="143"/>
        <v>1.2999999999999999E-3</v>
      </c>
      <c r="S311" s="49"/>
      <c r="T311" s="49"/>
      <c r="U311" s="49"/>
      <c r="V311" s="49"/>
      <c r="W311" s="49"/>
      <c r="X311" s="50"/>
    </row>
    <row r="312" spans="1:123" ht="25.5" x14ac:dyDescent="0.25">
      <c r="A312" s="1226"/>
      <c r="B312" s="20" t="s">
        <v>438</v>
      </c>
      <c r="C312" s="17" t="s">
        <v>202</v>
      </c>
      <c r="D312" s="8">
        <v>0.05</v>
      </c>
      <c r="E312" s="8">
        <v>0.03</v>
      </c>
      <c r="F312" s="18">
        <v>1.4</v>
      </c>
      <c r="G312" s="8">
        <v>1</v>
      </c>
      <c r="H312" s="8">
        <v>0.01</v>
      </c>
      <c r="I312" s="8" t="s">
        <v>47</v>
      </c>
      <c r="J312" s="8">
        <v>0.5</v>
      </c>
      <c r="K312" s="8">
        <v>0.5</v>
      </c>
      <c r="L312" s="8">
        <v>5</v>
      </c>
      <c r="M312" s="8">
        <v>203</v>
      </c>
      <c r="N312" s="8" t="s">
        <v>16</v>
      </c>
      <c r="O312" s="19" t="s">
        <v>49</v>
      </c>
      <c r="P312" s="8">
        <v>0</v>
      </c>
      <c r="Q312" s="8">
        <f t="shared" si="142"/>
        <v>7.3000000000000001E-3</v>
      </c>
      <c r="R312" s="8">
        <f t="shared" si="143"/>
        <v>1.1000000000000001E-3</v>
      </c>
      <c r="S312" s="49"/>
      <c r="T312" s="49"/>
      <c r="U312" s="49"/>
      <c r="V312" s="49"/>
      <c r="W312" s="49"/>
      <c r="X312" s="50"/>
    </row>
    <row r="313" spans="1:123" ht="25.5" x14ac:dyDescent="0.25">
      <c r="A313" s="1226"/>
      <c r="B313" s="20" t="s">
        <v>249</v>
      </c>
      <c r="C313" s="17" t="s">
        <v>17</v>
      </c>
      <c r="D313" s="8">
        <v>0.05</v>
      </c>
      <c r="E313" s="8">
        <v>0.03</v>
      </c>
      <c r="F313" s="18">
        <v>1.4</v>
      </c>
      <c r="G313" s="8">
        <v>1</v>
      </c>
      <c r="H313" s="8">
        <v>0.01</v>
      </c>
      <c r="I313" s="8" t="s">
        <v>47</v>
      </c>
      <c r="J313" s="8">
        <v>0.5</v>
      </c>
      <c r="K313" s="8">
        <v>0.5</v>
      </c>
      <c r="L313" s="8">
        <v>5</v>
      </c>
      <c r="M313" s="8">
        <v>666</v>
      </c>
      <c r="N313" s="8" t="s">
        <v>16</v>
      </c>
      <c r="O313" s="19" t="s">
        <v>49</v>
      </c>
      <c r="P313" s="8">
        <v>0</v>
      </c>
      <c r="Q313" s="8">
        <f t="shared" si="142"/>
        <v>7.3000000000000001E-3</v>
      </c>
      <c r="R313" s="8">
        <f t="shared" si="143"/>
        <v>3.5000000000000001E-3</v>
      </c>
      <c r="S313" s="50"/>
      <c r="T313" s="50"/>
      <c r="U313" s="50"/>
      <c r="V313" s="50"/>
      <c r="W313" s="50"/>
      <c r="X313" s="50"/>
    </row>
    <row r="314" spans="1:123" x14ac:dyDescent="0.25">
      <c r="A314" s="1206" t="s">
        <v>72</v>
      </c>
      <c r="B314" s="1207"/>
      <c r="C314" s="1207"/>
      <c r="D314" s="1207"/>
      <c r="E314" s="1207"/>
      <c r="F314" s="1207"/>
      <c r="G314" s="1207"/>
      <c r="H314" s="1207"/>
      <c r="I314" s="1207"/>
      <c r="J314" s="1207"/>
      <c r="K314" s="1207"/>
      <c r="L314" s="1207"/>
      <c r="M314" s="1207"/>
      <c r="N314" s="1207"/>
      <c r="O314" s="1207"/>
      <c r="P314" s="1207"/>
      <c r="Q314" s="1207"/>
      <c r="R314" s="1208"/>
      <c r="S314" s="49"/>
      <c r="T314" s="49"/>
      <c r="U314" s="49"/>
      <c r="V314" s="49"/>
    </row>
    <row r="315" spans="1:123" s="26" customFormat="1" ht="25.5" x14ac:dyDescent="0.25">
      <c r="A315" s="1136" t="s">
        <v>514</v>
      </c>
      <c r="B315" s="1137"/>
      <c r="C315" s="1137"/>
      <c r="D315" s="1137"/>
      <c r="E315" s="1137"/>
      <c r="F315" s="1137"/>
      <c r="G315" s="1137"/>
      <c r="H315" s="1137"/>
      <c r="I315" s="1137"/>
      <c r="J315" s="1137"/>
      <c r="K315" s="1137"/>
      <c r="L315" s="1137"/>
      <c r="M315" s="1138"/>
      <c r="N315" s="194" t="s">
        <v>16</v>
      </c>
      <c r="O315" s="225" t="s">
        <v>49</v>
      </c>
      <c r="P315" s="8"/>
      <c r="Q315" s="194">
        <f>MAX(Q309,Q310,Q311,Q313,Q312)</f>
        <v>7.3000000000000001E-3</v>
      </c>
      <c r="R315" s="194">
        <f>R309+R310+R311+R313+R312</f>
        <v>6.4200000000000007E-2</v>
      </c>
      <c r="S315" s="849">
        <f>Q231+Q236+Q241+Q246+Q248+Q253+Q255+Q261+Q272+Q278+Q287+Q293+Q298+Q307+Q315</f>
        <v>0.21190000000000001</v>
      </c>
      <c r="T315" s="849">
        <f>R231+R236+R241+R246+R248+R253+R255+R261+R272+R278+R287+R293+R298+R307+R315</f>
        <v>0.90035000000000021</v>
      </c>
      <c r="U315" s="849">
        <v>2028</v>
      </c>
      <c r="V315" s="49"/>
      <c r="W315" s="48"/>
      <c r="X315" s="47"/>
      <c r="Y315" s="47"/>
      <c r="Z315" s="47"/>
      <c r="AA315" s="47"/>
      <c r="AB315" s="47"/>
      <c r="AC315" s="47"/>
      <c r="AD315" s="47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  <c r="AP315" s="47"/>
      <c r="AQ315" s="47"/>
      <c r="AR315" s="47"/>
      <c r="AS315" s="47"/>
      <c r="AT315" s="47"/>
      <c r="AU315" s="47"/>
      <c r="AV315" s="47"/>
      <c r="AW315" s="47"/>
      <c r="AX315" s="47"/>
      <c r="AY315" s="47"/>
      <c r="AZ315" s="47"/>
      <c r="BA315" s="47"/>
      <c r="BB315" s="47"/>
      <c r="BC315" s="47"/>
      <c r="BD315" s="47"/>
      <c r="BE315" s="47"/>
      <c r="BF315" s="47"/>
      <c r="BG315" s="47"/>
      <c r="BH315" s="47"/>
      <c r="BI315" s="47"/>
      <c r="BJ315" s="47"/>
      <c r="BK315" s="47"/>
      <c r="BL315" s="47"/>
      <c r="BM315" s="47"/>
      <c r="BN315" s="47"/>
      <c r="BO315" s="47"/>
      <c r="BP315" s="47"/>
      <c r="BQ315" s="47"/>
      <c r="BR315" s="47"/>
      <c r="BS315" s="47"/>
      <c r="BT315" s="47"/>
      <c r="BU315" s="47"/>
      <c r="BV315" s="47"/>
      <c r="BW315" s="47"/>
      <c r="BX315" s="47"/>
      <c r="BY315" s="47"/>
      <c r="BZ315" s="47"/>
      <c r="CA315" s="47"/>
      <c r="CB315" s="47"/>
      <c r="CC315" s="47"/>
      <c r="CD315" s="47"/>
      <c r="CE315" s="47"/>
      <c r="CF315" s="47"/>
      <c r="CG315" s="47"/>
      <c r="CH315" s="47"/>
      <c r="CI315" s="47"/>
      <c r="CJ315" s="47"/>
      <c r="CK315" s="47"/>
      <c r="CL315" s="47"/>
      <c r="CM315" s="47"/>
      <c r="CN315" s="47"/>
      <c r="CO315" s="47"/>
      <c r="CP315" s="47"/>
      <c r="CQ315" s="47"/>
      <c r="CR315" s="47"/>
      <c r="CS315" s="47"/>
      <c r="CT315" s="47"/>
      <c r="CU315" s="47"/>
      <c r="CV315" s="47"/>
      <c r="CW315" s="47"/>
      <c r="CX315" s="47"/>
      <c r="CY315" s="47"/>
      <c r="CZ315" s="47"/>
      <c r="DA315" s="47"/>
      <c r="DB315" s="47"/>
      <c r="DC315" s="47"/>
      <c r="DD315" s="47"/>
      <c r="DE315" s="47"/>
      <c r="DF315" s="47"/>
      <c r="DG315" s="47"/>
      <c r="DH315" s="47"/>
      <c r="DI315" s="47"/>
      <c r="DJ315" s="47"/>
      <c r="DK315" s="47"/>
      <c r="DL315" s="47"/>
      <c r="DM315" s="47"/>
      <c r="DN315" s="47"/>
      <c r="DO315" s="47"/>
      <c r="DP315" s="47"/>
      <c r="DQ315" s="47"/>
      <c r="DR315" s="47"/>
      <c r="DS315" s="47"/>
    </row>
    <row r="316" spans="1:123" ht="15" customHeight="1" x14ac:dyDescent="0.25">
      <c r="A316" s="1147" t="s">
        <v>63</v>
      </c>
      <c r="B316" s="1264"/>
      <c r="C316" s="1264"/>
      <c r="D316" s="1264"/>
      <c r="E316" s="1264"/>
      <c r="F316" s="1264"/>
      <c r="G316" s="1264"/>
      <c r="H316" s="1264"/>
      <c r="I316" s="1264"/>
      <c r="J316" s="1264"/>
      <c r="K316" s="1264"/>
      <c r="L316" s="1264"/>
      <c r="M316" s="1264"/>
      <c r="N316" s="1264"/>
      <c r="O316" s="1264"/>
      <c r="P316" s="1264"/>
      <c r="Q316" s="1264"/>
      <c r="R316" s="1265"/>
      <c r="S316" s="49"/>
      <c r="T316" s="49"/>
      <c r="U316" s="49"/>
      <c r="V316" s="49"/>
    </row>
    <row r="317" spans="1:123" ht="15" customHeight="1" x14ac:dyDescent="0.25">
      <c r="A317" s="1171" t="s">
        <v>213</v>
      </c>
      <c r="B317" s="1210"/>
      <c r="C317" s="1210"/>
      <c r="D317" s="1210"/>
      <c r="E317" s="1210"/>
      <c r="F317" s="1210"/>
      <c r="G317" s="1210"/>
      <c r="H317" s="1210"/>
      <c r="I317" s="1210"/>
      <c r="J317" s="1210"/>
      <c r="K317" s="1210"/>
      <c r="L317" s="1210"/>
      <c r="M317" s="1210"/>
      <c r="N317" s="1210"/>
      <c r="O317" s="1210"/>
      <c r="P317" s="1210"/>
      <c r="Q317" s="1210"/>
      <c r="R317" s="1211"/>
      <c r="S317" s="49"/>
      <c r="T317" s="49"/>
      <c r="U317" s="49"/>
      <c r="V317" s="49"/>
    </row>
    <row r="318" spans="1:123" ht="24.95" customHeight="1" x14ac:dyDescent="0.25">
      <c r="A318" s="1209">
        <v>701902</v>
      </c>
      <c r="B318" s="20" t="s">
        <v>69</v>
      </c>
      <c r="C318" s="17" t="s">
        <v>17</v>
      </c>
      <c r="D318" s="8">
        <v>0.05</v>
      </c>
      <c r="E318" s="8">
        <v>0.03</v>
      </c>
      <c r="F318" s="18">
        <v>1.4</v>
      </c>
      <c r="G318" s="8">
        <v>1</v>
      </c>
      <c r="H318" s="8">
        <v>0.01</v>
      </c>
      <c r="I318" s="8" t="s">
        <v>47</v>
      </c>
      <c r="J318" s="8">
        <v>0.5</v>
      </c>
      <c r="K318" s="8">
        <v>0.5</v>
      </c>
      <c r="L318" s="8">
        <v>15</v>
      </c>
      <c r="M318" s="8">
        <v>345</v>
      </c>
      <c r="N318" s="8" t="s">
        <v>16</v>
      </c>
      <c r="O318" s="19" t="s">
        <v>49</v>
      </c>
      <c r="P318" s="8">
        <v>0</v>
      </c>
      <c r="Q318" s="8">
        <f t="shared" ref="Q318:Q319" si="144">ROUND(((D318*E318*F318*G318*H318*J318*L318*1000000*K318/3600)*(1-P318)),4)</f>
        <v>2.1899999999999999E-2</v>
      </c>
      <c r="R318" s="8">
        <f t="shared" ref="R318:R319" si="145">ROUND((D318*E318*F318*G318*H318*J318*K318*M318*(1-P318)),4)</f>
        <v>1.8E-3</v>
      </c>
      <c r="S318" s="49"/>
      <c r="T318" s="49"/>
      <c r="U318" s="49"/>
      <c r="V318" s="49"/>
    </row>
    <row r="319" spans="1:123" ht="24.95" customHeight="1" x14ac:dyDescent="0.25">
      <c r="A319" s="1196"/>
      <c r="B319" s="8" t="s">
        <v>70</v>
      </c>
      <c r="C319" s="17" t="s">
        <v>17</v>
      </c>
      <c r="D319" s="8">
        <v>0.05</v>
      </c>
      <c r="E319" s="8">
        <v>0.03</v>
      </c>
      <c r="F319" s="18">
        <v>1.4</v>
      </c>
      <c r="G319" s="8">
        <v>1</v>
      </c>
      <c r="H319" s="8">
        <v>0.01</v>
      </c>
      <c r="I319" s="8" t="s">
        <v>47</v>
      </c>
      <c r="J319" s="8">
        <v>0.5</v>
      </c>
      <c r="K319" s="8">
        <v>0.5</v>
      </c>
      <c r="L319" s="8">
        <v>5</v>
      </c>
      <c r="M319" s="8">
        <v>173</v>
      </c>
      <c r="N319" s="8" t="s">
        <v>16</v>
      </c>
      <c r="O319" s="19" t="s">
        <v>49</v>
      </c>
      <c r="P319" s="8">
        <v>0</v>
      </c>
      <c r="Q319" s="8">
        <f t="shared" si="144"/>
        <v>7.3000000000000001E-3</v>
      </c>
      <c r="R319" s="8">
        <f t="shared" si="145"/>
        <v>8.9999999999999998E-4</v>
      </c>
      <c r="S319" s="49"/>
      <c r="T319" s="49"/>
      <c r="U319" s="49"/>
      <c r="V319" s="49"/>
    </row>
    <row r="320" spans="1:123" ht="15" customHeight="1" x14ac:dyDescent="0.25">
      <c r="A320" s="1206" t="s">
        <v>72</v>
      </c>
      <c r="B320" s="1207"/>
      <c r="C320" s="1207"/>
      <c r="D320" s="1207"/>
      <c r="E320" s="1207"/>
      <c r="F320" s="1207"/>
      <c r="G320" s="1207"/>
      <c r="H320" s="1207"/>
      <c r="I320" s="1207"/>
      <c r="J320" s="1207"/>
      <c r="K320" s="1207"/>
      <c r="L320" s="1207"/>
      <c r="M320" s="1207"/>
      <c r="N320" s="1207"/>
      <c r="O320" s="1207"/>
      <c r="P320" s="1207"/>
      <c r="Q320" s="1207"/>
      <c r="R320" s="1208"/>
      <c r="S320" s="49"/>
      <c r="T320" s="49"/>
      <c r="U320" s="49"/>
      <c r="V320" s="49"/>
    </row>
    <row r="321" spans="1:22" ht="36.75" customHeight="1" x14ac:dyDescent="0.25">
      <c r="A321" s="1136" t="s">
        <v>395</v>
      </c>
      <c r="B321" s="1137"/>
      <c r="C321" s="1137"/>
      <c r="D321" s="1137"/>
      <c r="E321" s="1137"/>
      <c r="F321" s="1137"/>
      <c r="G321" s="1137"/>
      <c r="H321" s="1137"/>
      <c r="I321" s="1137"/>
      <c r="J321" s="1137"/>
      <c r="K321" s="1137"/>
      <c r="L321" s="1137"/>
      <c r="M321" s="1138"/>
      <c r="N321" s="194" t="s">
        <v>16</v>
      </c>
      <c r="O321" s="225" t="s">
        <v>49</v>
      </c>
      <c r="P321" s="8"/>
      <c r="Q321" s="194">
        <f>MAX(Q318,Q319)</f>
        <v>2.1899999999999999E-2</v>
      </c>
      <c r="R321" s="194">
        <f>R318+R319</f>
        <v>2.7000000000000001E-3</v>
      </c>
      <c r="S321" s="49"/>
      <c r="T321" s="49"/>
      <c r="U321" s="49"/>
      <c r="V321" s="49"/>
    </row>
    <row r="322" spans="1:22" ht="15" customHeight="1" x14ac:dyDescent="0.25">
      <c r="A322" s="1171" t="s">
        <v>264</v>
      </c>
      <c r="B322" s="1210"/>
      <c r="C322" s="1210"/>
      <c r="D322" s="1210"/>
      <c r="E322" s="1210"/>
      <c r="F322" s="1210"/>
      <c r="G322" s="1210"/>
      <c r="H322" s="1210"/>
      <c r="I322" s="1210"/>
      <c r="J322" s="1210"/>
      <c r="K322" s="1210"/>
      <c r="L322" s="1210"/>
      <c r="M322" s="1210"/>
      <c r="N322" s="1210"/>
      <c r="O322" s="1210"/>
      <c r="P322" s="1210"/>
      <c r="Q322" s="1210"/>
      <c r="R322" s="1211"/>
      <c r="S322" s="49"/>
      <c r="T322" s="49"/>
      <c r="U322" s="49"/>
      <c r="V322" s="49"/>
    </row>
    <row r="323" spans="1:22" ht="29.25" customHeight="1" x14ac:dyDescent="0.25">
      <c r="A323" s="1209">
        <v>707703</v>
      </c>
      <c r="B323" s="18" t="s">
        <v>70</v>
      </c>
      <c r="C323" s="17" t="s">
        <v>17</v>
      </c>
      <c r="D323" s="8">
        <v>0.05</v>
      </c>
      <c r="E323" s="8">
        <v>0.03</v>
      </c>
      <c r="F323" s="18">
        <v>1.4</v>
      </c>
      <c r="G323" s="8">
        <v>1</v>
      </c>
      <c r="H323" s="8">
        <v>0.01</v>
      </c>
      <c r="I323" s="8" t="s">
        <v>47</v>
      </c>
      <c r="J323" s="8">
        <v>0.5</v>
      </c>
      <c r="K323" s="8">
        <v>0.5</v>
      </c>
      <c r="L323" s="8">
        <v>5</v>
      </c>
      <c r="M323" s="8">
        <v>14</v>
      </c>
      <c r="N323" s="8" t="s">
        <v>16</v>
      </c>
      <c r="O323" s="19" t="s">
        <v>49</v>
      </c>
      <c r="P323" s="8">
        <v>0</v>
      </c>
      <c r="Q323" s="8">
        <f t="shared" ref="Q323:Q324" si="146">ROUND(((D323*E323*F323*G323*H323*J323*L323*1000000*K323/3600)*(1-P323)),4)</f>
        <v>7.3000000000000001E-3</v>
      </c>
      <c r="R323" s="8">
        <f t="shared" ref="R323:R324" si="147">ROUND((D323*E323*F323*G323*H323*J323*K323*M323*(1-P323)),4)</f>
        <v>1E-4</v>
      </c>
      <c r="S323" s="49"/>
      <c r="T323" s="49"/>
      <c r="U323" s="49"/>
      <c r="V323" s="49"/>
    </row>
    <row r="324" spans="1:22" ht="29.25" customHeight="1" x14ac:dyDescent="0.25">
      <c r="A324" s="1196"/>
      <c r="B324" s="20" t="s">
        <v>268</v>
      </c>
      <c r="C324" s="17" t="s">
        <v>17</v>
      </c>
      <c r="D324" s="8">
        <v>0.05</v>
      </c>
      <c r="E324" s="8">
        <v>0.03</v>
      </c>
      <c r="F324" s="18">
        <v>1.4</v>
      </c>
      <c r="G324" s="8">
        <v>1</v>
      </c>
      <c r="H324" s="8">
        <v>0.01</v>
      </c>
      <c r="I324" s="8" t="s">
        <v>47</v>
      </c>
      <c r="J324" s="8">
        <v>0.5</v>
      </c>
      <c r="K324" s="8">
        <v>0.5</v>
      </c>
      <c r="L324" s="8">
        <v>5</v>
      </c>
      <c r="M324" s="8">
        <v>35</v>
      </c>
      <c r="N324" s="8" t="s">
        <v>16</v>
      </c>
      <c r="O324" s="19" t="s">
        <v>49</v>
      </c>
      <c r="P324" s="8">
        <v>0</v>
      </c>
      <c r="Q324" s="8">
        <f t="shared" si="146"/>
        <v>7.3000000000000001E-3</v>
      </c>
      <c r="R324" s="8">
        <f t="shared" si="147"/>
        <v>2.0000000000000001E-4</v>
      </c>
      <c r="S324" s="49"/>
      <c r="T324" s="49"/>
      <c r="U324" s="49"/>
      <c r="V324" s="49"/>
    </row>
    <row r="325" spans="1:22" ht="12.75" customHeight="1" x14ac:dyDescent="0.25">
      <c r="A325" s="1206" t="s">
        <v>72</v>
      </c>
      <c r="B325" s="1207"/>
      <c r="C325" s="1207"/>
      <c r="D325" s="1207"/>
      <c r="E325" s="1207"/>
      <c r="F325" s="1207"/>
      <c r="G325" s="1207"/>
      <c r="H325" s="1207"/>
      <c r="I325" s="1207"/>
      <c r="J325" s="1207"/>
      <c r="K325" s="1207"/>
      <c r="L325" s="1207"/>
      <c r="M325" s="1207"/>
      <c r="N325" s="1207"/>
      <c r="O325" s="1207"/>
      <c r="P325" s="1207"/>
      <c r="Q325" s="1207"/>
      <c r="R325" s="1208"/>
      <c r="S325" s="49"/>
      <c r="T325" s="49"/>
      <c r="U325" s="49"/>
      <c r="V325" s="49"/>
    </row>
    <row r="326" spans="1:22" ht="37.5" customHeight="1" x14ac:dyDescent="0.25">
      <c r="A326" s="1136" t="s">
        <v>472</v>
      </c>
      <c r="B326" s="1137"/>
      <c r="C326" s="1137"/>
      <c r="D326" s="1137"/>
      <c r="E326" s="1137"/>
      <c r="F326" s="1137"/>
      <c r="G326" s="1137"/>
      <c r="H326" s="1137"/>
      <c r="I326" s="1137"/>
      <c r="J326" s="1137"/>
      <c r="K326" s="1137"/>
      <c r="L326" s="1137"/>
      <c r="M326" s="1138"/>
      <c r="N326" s="194" t="s">
        <v>16</v>
      </c>
      <c r="O326" s="225" t="s">
        <v>49</v>
      </c>
      <c r="P326" s="8"/>
      <c r="Q326" s="194">
        <f>MAX(Q323,Q324)</f>
        <v>7.3000000000000001E-3</v>
      </c>
      <c r="R326" s="194">
        <f>R323+R324</f>
        <v>3.0000000000000003E-4</v>
      </c>
      <c r="S326" s="49"/>
      <c r="T326" s="49"/>
      <c r="U326" s="49"/>
      <c r="V326" s="49"/>
    </row>
    <row r="327" spans="1:22" ht="15.75" customHeight="1" x14ac:dyDescent="0.25">
      <c r="A327" s="1171" t="s">
        <v>276</v>
      </c>
      <c r="B327" s="1210"/>
      <c r="C327" s="1210"/>
      <c r="D327" s="1210"/>
      <c r="E327" s="1210"/>
      <c r="F327" s="1210"/>
      <c r="G327" s="1210"/>
      <c r="H327" s="1210"/>
      <c r="I327" s="1210"/>
      <c r="J327" s="1210"/>
      <c r="K327" s="1210"/>
      <c r="L327" s="1210"/>
      <c r="M327" s="1210"/>
      <c r="N327" s="1210"/>
      <c r="O327" s="1210"/>
      <c r="P327" s="1210"/>
      <c r="Q327" s="1210"/>
      <c r="R327" s="1211"/>
      <c r="S327" s="49"/>
      <c r="T327" s="49"/>
      <c r="U327" s="49"/>
      <c r="V327" s="49"/>
    </row>
    <row r="328" spans="1:22" ht="36" customHeight="1" x14ac:dyDescent="0.25">
      <c r="A328" s="1192">
        <v>708403</v>
      </c>
      <c r="B328" s="18" t="s">
        <v>70</v>
      </c>
      <c r="C328" s="17" t="s">
        <v>17</v>
      </c>
      <c r="D328" s="8">
        <v>0.05</v>
      </c>
      <c r="E328" s="8">
        <v>0.03</v>
      </c>
      <c r="F328" s="18">
        <v>1.4</v>
      </c>
      <c r="G328" s="8">
        <v>1</v>
      </c>
      <c r="H328" s="8">
        <v>0.01</v>
      </c>
      <c r="I328" s="8" t="s">
        <v>47</v>
      </c>
      <c r="J328" s="8">
        <v>0.5</v>
      </c>
      <c r="K328" s="8">
        <v>0.5</v>
      </c>
      <c r="L328" s="8">
        <v>5</v>
      </c>
      <c r="M328" s="8">
        <v>962</v>
      </c>
      <c r="N328" s="8" t="s">
        <v>16</v>
      </c>
      <c r="O328" s="19" t="s">
        <v>49</v>
      </c>
      <c r="P328" s="8">
        <v>0</v>
      </c>
      <c r="Q328" s="8">
        <f t="shared" ref="Q328" si="148">ROUND(((D328*E328*F328*G328*H328*J328*L328*1000000*K328/3600)*(1-P328)),4)</f>
        <v>7.3000000000000001E-3</v>
      </c>
      <c r="R328" s="8">
        <f t="shared" ref="R328" si="149">ROUND((D328*E328*F328*G328*H328*J328*K328*M328*(1-P328)),4)</f>
        <v>5.1000000000000004E-3</v>
      </c>
      <c r="S328" s="49"/>
      <c r="T328" s="49"/>
      <c r="U328" s="49"/>
      <c r="V328" s="49"/>
    </row>
    <row r="329" spans="1:22" ht="36" customHeight="1" x14ac:dyDescent="0.25">
      <c r="A329" s="1191"/>
      <c r="B329" s="18" t="s">
        <v>277</v>
      </c>
      <c r="C329" s="17" t="s">
        <v>17</v>
      </c>
      <c r="D329" s="8">
        <v>0.05</v>
      </c>
      <c r="E329" s="8">
        <v>0.03</v>
      </c>
      <c r="F329" s="18">
        <v>1.4</v>
      </c>
      <c r="G329" s="8">
        <v>1</v>
      </c>
      <c r="H329" s="8">
        <v>0.01</v>
      </c>
      <c r="I329" s="8" t="s">
        <v>47</v>
      </c>
      <c r="J329" s="8">
        <v>0.5</v>
      </c>
      <c r="K329" s="8">
        <v>0.5</v>
      </c>
      <c r="L329" s="8">
        <v>5</v>
      </c>
      <c r="M329" s="8">
        <v>1374</v>
      </c>
      <c r="N329" s="8" t="s">
        <v>16</v>
      </c>
      <c r="O329" s="19" t="s">
        <v>49</v>
      </c>
      <c r="P329" s="8">
        <v>0</v>
      </c>
      <c r="Q329" s="8">
        <f t="shared" ref="Q329" si="150">ROUND(((D329*E329*F329*G329*H329*J329*L329*1000000*K329/3600)*(1-P329)),4)</f>
        <v>7.3000000000000001E-3</v>
      </c>
      <c r="R329" s="8">
        <f t="shared" ref="R329" si="151">ROUND((D329*E329*F329*G329*H329*J329*K329*M329*(1-P329)),4)</f>
        <v>7.1999999999999998E-3</v>
      </c>
      <c r="S329" s="49"/>
      <c r="T329" s="49"/>
      <c r="U329" s="49"/>
      <c r="V329" s="49"/>
    </row>
    <row r="330" spans="1:22" ht="15.75" customHeight="1" x14ac:dyDescent="0.25">
      <c r="A330" s="1206" t="s">
        <v>72</v>
      </c>
      <c r="B330" s="1207"/>
      <c r="C330" s="1207"/>
      <c r="D330" s="1207"/>
      <c r="E330" s="1207"/>
      <c r="F330" s="1207"/>
      <c r="G330" s="1207"/>
      <c r="H330" s="1207"/>
      <c r="I330" s="1207"/>
      <c r="J330" s="1207"/>
      <c r="K330" s="1207"/>
      <c r="L330" s="1207"/>
      <c r="M330" s="1207"/>
      <c r="N330" s="1207"/>
      <c r="O330" s="1207"/>
      <c r="P330" s="1207"/>
      <c r="Q330" s="1207"/>
      <c r="R330" s="1208"/>
      <c r="S330" s="49"/>
      <c r="T330" s="49"/>
      <c r="U330" s="49"/>
      <c r="V330" s="49"/>
    </row>
    <row r="331" spans="1:22" ht="29.25" customHeight="1" x14ac:dyDescent="0.25">
      <c r="A331" s="1136" t="s">
        <v>481</v>
      </c>
      <c r="B331" s="1137"/>
      <c r="C331" s="1137"/>
      <c r="D331" s="1137"/>
      <c r="E331" s="1137"/>
      <c r="F331" s="1137"/>
      <c r="G331" s="1137"/>
      <c r="H331" s="1137"/>
      <c r="I331" s="1137"/>
      <c r="J331" s="1137"/>
      <c r="K331" s="1137"/>
      <c r="L331" s="1137"/>
      <c r="M331" s="1138"/>
      <c r="N331" s="194" t="s">
        <v>16</v>
      </c>
      <c r="O331" s="225" t="s">
        <v>49</v>
      </c>
      <c r="P331" s="8"/>
      <c r="Q331" s="194">
        <f>MAX(Q328,Q329)</f>
        <v>7.3000000000000001E-3</v>
      </c>
      <c r="R331" s="194">
        <f>R328+R329</f>
        <v>1.23E-2</v>
      </c>
      <c r="S331" s="49"/>
      <c r="T331" s="49"/>
      <c r="U331" s="49"/>
      <c r="V331" s="49"/>
    </row>
    <row r="332" spans="1:22" ht="15.75" customHeight="1" x14ac:dyDescent="0.25">
      <c r="A332" s="1171" t="s">
        <v>302</v>
      </c>
      <c r="B332" s="1210"/>
      <c r="C332" s="1210"/>
      <c r="D332" s="1210"/>
      <c r="E332" s="1210"/>
      <c r="F332" s="1210"/>
      <c r="G332" s="1210"/>
      <c r="H332" s="1210"/>
      <c r="I332" s="1210"/>
      <c r="J332" s="1210"/>
      <c r="K332" s="1210"/>
      <c r="L332" s="1210"/>
      <c r="M332" s="1210"/>
      <c r="N332" s="1210"/>
      <c r="O332" s="1210"/>
      <c r="P332" s="1210"/>
      <c r="Q332" s="1210"/>
      <c r="R332" s="1211"/>
      <c r="S332" s="49"/>
      <c r="T332" s="49"/>
      <c r="U332" s="49"/>
      <c r="V332" s="49"/>
    </row>
    <row r="333" spans="1:22" ht="32.25" customHeight="1" x14ac:dyDescent="0.25">
      <c r="A333" s="1225">
        <v>711503</v>
      </c>
      <c r="B333" s="18" t="s">
        <v>70</v>
      </c>
      <c r="C333" s="17" t="s">
        <v>17</v>
      </c>
      <c r="D333" s="8">
        <v>0.05</v>
      </c>
      <c r="E333" s="8">
        <v>0.03</v>
      </c>
      <c r="F333" s="18">
        <v>1.4</v>
      </c>
      <c r="G333" s="8">
        <v>1</v>
      </c>
      <c r="H333" s="8">
        <v>0.01</v>
      </c>
      <c r="I333" s="8" t="s">
        <v>47</v>
      </c>
      <c r="J333" s="8">
        <v>0.5</v>
      </c>
      <c r="K333" s="8">
        <v>0.5</v>
      </c>
      <c r="L333" s="8">
        <v>2</v>
      </c>
      <c r="M333" s="8">
        <v>132</v>
      </c>
      <c r="N333" s="8" t="s">
        <v>16</v>
      </c>
      <c r="O333" s="19" t="s">
        <v>49</v>
      </c>
      <c r="P333" s="8">
        <v>0</v>
      </c>
      <c r="Q333" s="8">
        <f t="shared" ref="Q333" si="152">ROUND(((D333*E333*F333*G333*H333*J333*L333*1000000*K333/3600)*(1-P333)),4)</f>
        <v>2.8999999999999998E-3</v>
      </c>
      <c r="R333" s="8">
        <f t="shared" ref="R333" si="153">ROUND((D333*E333*F333*G333*H333*J333*K333*M333*(1-P333)),4)</f>
        <v>6.9999999999999999E-4</v>
      </c>
      <c r="S333" s="49"/>
      <c r="T333" s="49"/>
      <c r="U333" s="49"/>
      <c r="V333" s="49"/>
    </row>
    <row r="334" spans="1:22" ht="46.5" customHeight="1" x14ac:dyDescent="0.25">
      <c r="A334" s="1226"/>
      <c r="B334" s="18" t="s">
        <v>1062</v>
      </c>
      <c r="C334" s="17" t="s">
        <v>17</v>
      </c>
      <c r="D334" s="8">
        <v>0.05</v>
      </c>
      <c r="E334" s="8">
        <v>0.03</v>
      </c>
      <c r="F334" s="18">
        <v>1.4</v>
      </c>
      <c r="G334" s="8">
        <v>1</v>
      </c>
      <c r="H334" s="8">
        <v>0.01</v>
      </c>
      <c r="I334" s="8" t="s">
        <v>47</v>
      </c>
      <c r="J334" s="8">
        <v>0.5</v>
      </c>
      <c r="K334" s="8">
        <v>0.5</v>
      </c>
      <c r="L334" s="8">
        <v>5</v>
      </c>
      <c r="M334" s="8">
        <f>(4599)*0.1*1.97</f>
        <v>906.00300000000004</v>
      </c>
      <c r="N334" s="8" t="s">
        <v>16</v>
      </c>
      <c r="O334" s="19" t="s">
        <v>49</v>
      </c>
      <c r="P334" s="8">
        <v>0</v>
      </c>
      <c r="Q334" s="8">
        <f>ROUND(((D334*E334*F334*G334*H334*J334*L334*1000000*K334/3600)*(1-P334)),4)</f>
        <v>7.3000000000000001E-3</v>
      </c>
      <c r="R334" s="8">
        <f>ROUND((D334*E334*F334*G334*H334*J334*K334*M334*(1-P334)),4)</f>
        <v>4.7999999999999996E-3</v>
      </c>
      <c r="S334" s="49"/>
      <c r="T334" s="49"/>
      <c r="U334" s="49"/>
      <c r="V334" s="49"/>
    </row>
    <row r="335" spans="1:22" ht="50.25" customHeight="1" x14ac:dyDescent="0.25">
      <c r="A335" s="1226"/>
      <c r="B335" s="20" t="s">
        <v>1061</v>
      </c>
      <c r="C335" s="17" t="s">
        <v>17</v>
      </c>
      <c r="D335" s="8">
        <v>0.05</v>
      </c>
      <c r="E335" s="8">
        <v>0.03</v>
      </c>
      <c r="F335" s="18">
        <v>1.4</v>
      </c>
      <c r="G335" s="8">
        <v>1</v>
      </c>
      <c r="H335" s="8">
        <v>0.01</v>
      </c>
      <c r="I335" s="8" t="s">
        <v>47</v>
      </c>
      <c r="J335" s="8">
        <v>0.5</v>
      </c>
      <c r="K335" s="8">
        <v>0.5</v>
      </c>
      <c r="L335" s="8">
        <v>10</v>
      </c>
      <c r="M335" s="8">
        <v>2719</v>
      </c>
      <c r="N335" s="8" t="s">
        <v>16</v>
      </c>
      <c r="O335" s="19" t="s">
        <v>49</v>
      </c>
      <c r="P335" s="8">
        <v>0</v>
      </c>
      <c r="Q335" s="8">
        <f t="shared" ref="Q335:Q338" si="154">ROUND(((D335*E335*F335*G335*H335*J335*L335*1000000*K335/3600)*(1-P335)),4)</f>
        <v>1.46E-2</v>
      </c>
      <c r="R335" s="8">
        <f t="shared" ref="R335:R338" si="155">ROUND((D335*E335*F335*G335*H335*J335*K335*M335*(1-P335)),4)</f>
        <v>1.43E-2</v>
      </c>
      <c r="S335" s="49"/>
      <c r="T335" s="49"/>
      <c r="U335" s="49"/>
      <c r="V335" s="49"/>
    </row>
    <row r="336" spans="1:22" ht="53.25" customHeight="1" x14ac:dyDescent="0.25">
      <c r="A336" s="1226"/>
      <c r="B336" s="20" t="s">
        <v>1060</v>
      </c>
      <c r="C336" s="17" t="s">
        <v>17</v>
      </c>
      <c r="D336" s="8">
        <v>0.05</v>
      </c>
      <c r="E336" s="8">
        <v>0.03</v>
      </c>
      <c r="F336" s="18">
        <v>1.4</v>
      </c>
      <c r="G336" s="8">
        <v>1</v>
      </c>
      <c r="H336" s="8">
        <v>0.01</v>
      </c>
      <c r="I336" s="8" t="s">
        <v>47</v>
      </c>
      <c r="J336" s="8">
        <v>0.5</v>
      </c>
      <c r="K336" s="8">
        <v>0.5</v>
      </c>
      <c r="L336" s="8">
        <v>5</v>
      </c>
      <c r="M336" s="8">
        <v>61</v>
      </c>
      <c r="N336" s="8" t="s">
        <v>16</v>
      </c>
      <c r="O336" s="19" t="s">
        <v>49</v>
      </c>
      <c r="P336" s="8">
        <v>0</v>
      </c>
      <c r="Q336" s="8">
        <f t="shared" si="154"/>
        <v>7.3000000000000001E-3</v>
      </c>
      <c r="R336" s="8">
        <f t="shared" si="155"/>
        <v>2.9999999999999997E-4</v>
      </c>
      <c r="S336" s="49"/>
      <c r="T336" s="49"/>
      <c r="U336" s="49"/>
      <c r="V336" s="49"/>
    </row>
    <row r="337" spans="1:22" ht="32.25" customHeight="1" x14ac:dyDescent="0.25">
      <c r="A337" s="1226"/>
      <c r="B337" s="20" t="s">
        <v>438</v>
      </c>
      <c r="C337" s="17" t="s">
        <v>202</v>
      </c>
      <c r="D337" s="8">
        <v>0.05</v>
      </c>
      <c r="E337" s="8">
        <v>0.03</v>
      </c>
      <c r="F337" s="18">
        <v>1.4</v>
      </c>
      <c r="G337" s="8">
        <v>1</v>
      </c>
      <c r="H337" s="8">
        <v>0.01</v>
      </c>
      <c r="I337" s="8" t="s">
        <v>47</v>
      </c>
      <c r="J337" s="8">
        <v>0.5</v>
      </c>
      <c r="K337" s="8">
        <v>0.5</v>
      </c>
      <c r="L337" s="8">
        <v>5</v>
      </c>
      <c r="M337" s="8">
        <v>1939</v>
      </c>
      <c r="N337" s="8" t="s">
        <v>16</v>
      </c>
      <c r="O337" s="19" t="s">
        <v>49</v>
      </c>
      <c r="P337" s="8">
        <v>0</v>
      </c>
      <c r="Q337" s="8">
        <f t="shared" si="154"/>
        <v>7.3000000000000001E-3</v>
      </c>
      <c r="R337" s="8">
        <f t="shared" si="155"/>
        <v>1.0200000000000001E-2</v>
      </c>
      <c r="S337" s="49"/>
      <c r="T337" s="49"/>
      <c r="U337" s="49"/>
      <c r="V337" s="49"/>
    </row>
    <row r="338" spans="1:22" ht="32.25" customHeight="1" x14ac:dyDescent="0.25">
      <c r="A338" s="1226"/>
      <c r="B338" s="20" t="s">
        <v>249</v>
      </c>
      <c r="C338" s="17" t="s">
        <v>17</v>
      </c>
      <c r="D338" s="8">
        <v>0.05</v>
      </c>
      <c r="E338" s="8">
        <v>0.03</v>
      </c>
      <c r="F338" s="18">
        <v>1.4</v>
      </c>
      <c r="G338" s="8">
        <v>1</v>
      </c>
      <c r="H338" s="8">
        <v>0.01</v>
      </c>
      <c r="I338" s="8" t="s">
        <v>47</v>
      </c>
      <c r="J338" s="8">
        <v>0.5</v>
      </c>
      <c r="K338" s="8">
        <v>0.5</v>
      </c>
      <c r="L338" s="8">
        <v>10</v>
      </c>
      <c r="M338" s="8">
        <v>5961</v>
      </c>
      <c r="N338" s="8" t="s">
        <v>16</v>
      </c>
      <c r="O338" s="19" t="s">
        <v>49</v>
      </c>
      <c r="P338" s="8">
        <v>0</v>
      </c>
      <c r="Q338" s="8">
        <f t="shared" si="154"/>
        <v>1.46E-2</v>
      </c>
      <c r="R338" s="8">
        <f t="shared" si="155"/>
        <v>3.1300000000000001E-2</v>
      </c>
      <c r="S338" s="49"/>
      <c r="T338" s="49"/>
      <c r="U338" s="49"/>
      <c r="V338" s="49"/>
    </row>
    <row r="339" spans="1:22" ht="15" customHeight="1" x14ac:dyDescent="0.25">
      <c r="A339" s="1206" t="s">
        <v>72</v>
      </c>
      <c r="B339" s="1207"/>
      <c r="C339" s="1207"/>
      <c r="D339" s="1207"/>
      <c r="E339" s="1207"/>
      <c r="F339" s="1207"/>
      <c r="G339" s="1207"/>
      <c r="H339" s="1207"/>
      <c r="I339" s="1207"/>
      <c r="J339" s="1207"/>
      <c r="K339" s="1207"/>
      <c r="L339" s="1207"/>
      <c r="M339" s="1207"/>
      <c r="N339" s="1207"/>
      <c r="O339" s="1207"/>
      <c r="P339" s="1207"/>
      <c r="Q339" s="1207"/>
      <c r="R339" s="1208"/>
      <c r="S339" s="49"/>
      <c r="T339" s="49"/>
      <c r="U339" s="49"/>
      <c r="V339" s="49"/>
    </row>
    <row r="340" spans="1:22" ht="33.75" customHeight="1" x14ac:dyDescent="0.25">
      <c r="A340" s="1136" t="s">
        <v>514</v>
      </c>
      <c r="B340" s="1137"/>
      <c r="C340" s="1137"/>
      <c r="D340" s="1137"/>
      <c r="E340" s="1137"/>
      <c r="F340" s="1137"/>
      <c r="G340" s="1137"/>
      <c r="H340" s="1137"/>
      <c r="I340" s="1137"/>
      <c r="J340" s="1137"/>
      <c r="K340" s="1137"/>
      <c r="L340" s="1137"/>
      <c r="M340" s="1138"/>
      <c r="N340" s="194" t="s">
        <v>16</v>
      </c>
      <c r="O340" s="225" t="s">
        <v>49</v>
      </c>
      <c r="P340" s="8"/>
      <c r="Q340" s="194">
        <f>MAX(Q333,Q334,Q335,Q336,Q338,Q337)</f>
        <v>1.46E-2</v>
      </c>
      <c r="R340" s="194">
        <f>R333+R334+R335+R336+R338+R337</f>
        <v>6.1600000000000002E-2</v>
      </c>
      <c r="S340" s="866">
        <f>Q321+Q326+Q331+Q340</f>
        <v>5.11E-2</v>
      </c>
      <c r="T340" s="849">
        <f>R321+R326+R331+R340</f>
        <v>7.6899999999999996E-2</v>
      </c>
      <c r="U340" s="849">
        <v>2029</v>
      </c>
      <c r="V340" s="49"/>
    </row>
    <row r="341" spans="1:22" ht="65.25" customHeight="1" x14ac:dyDescent="0.25">
      <c r="A341" s="1262" t="s">
        <v>1085</v>
      </c>
      <c r="B341" s="1263"/>
      <c r="C341" s="1263"/>
      <c r="D341" s="1263"/>
      <c r="E341" s="1263"/>
      <c r="F341" s="1263"/>
      <c r="G341" s="1263"/>
      <c r="H341" s="1263"/>
      <c r="I341" s="1263"/>
      <c r="J341" s="1263"/>
      <c r="K341" s="1263"/>
      <c r="L341" s="1263"/>
      <c r="M341" s="1263"/>
      <c r="N341" s="1263"/>
      <c r="O341" s="1263"/>
      <c r="P341" s="1263"/>
      <c r="Q341" s="1263"/>
      <c r="R341" s="1263"/>
    </row>
    <row r="348" spans="1:22" ht="15" customHeight="1" x14ac:dyDescent="0.25"/>
    <row r="349" spans="1:22" ht="53.25" customHeight="1" x14ac:dyDescent="0.25"/>
  </sheetData>
  <mergeCells count="193">
    <mergeCell ref="A341:R341"/>
    <mergeCell ref="A318:A319"/>
    <mergeCell ref="A327:R327"/>
    <mergeCell ref="A317:R317"/>
    <mergeCell ref="A316:R316"/>
    <mergeCell ref="A333:A338"/>
    <mergeCell ref="A339:R339"/>
    <mergeCell ref="A340:M340"/>
    <mergeCell ref="A332:R332"/>
    <mergeCell ref="A320:R320"/>
    <mergeCell ref="A321:M321"/>
    <mergeCell ref="A325:R325"/>
    <mergeCell ref="A326:M326"/>
    <mergeCell ref="A322:R322"/>
    <mergeCell ref="A323:A324"/>
    <mergeCell ref="A328:A329"/>
    <mergeCell ref="A330:R330"/>
    <mergeCell ref="A331:M331"/>
    <mergeCell ref="A309:A313"/>
    <mergeCell ref="A314:R314"/>
    <mergeCell ref="A315:M315"/>
    <mergeCell ref="A233:A234"/>
    <mergeCell ref="A235:R235"/>
    <mergeCell ref="A236:M236"/>
    <mergeCell ref="A237:R237"/>
    <mergeCell ref="A238:A239"/>
    <mergeCell ref="A240:R240"/>
    <mergeCell ref="A306:R306"/>
    <mergeCell ref="A307:M307"/>
    <mergeCell ref="A308:R308"/>
    <mergeCell ref="A299:R299"/>
    <mergeCell ref="A300:A305"/>
    <mergeCell ref="A262:R262"/>
    <mergeCell ref="A271:R271"/>
    <mergeCell ref="A263:A270"/>
    <mergeCell ref="A272:M272"/>
    <mergeCell ref="A292:R292"/>
    <mergeCell ref="A293:M293"/>
    <mergeCell ref="A294:R294"/>
    <mergeCell ref="A253:M253"/>
    <mergeCell ref="A289:A291"/>
    <mergeCell ref="A295:A296"/>
    <mergeCell ref="A297:R297"/>
    <mergeCell ref="A298:M298"/>
    <mergeCell ref="A277:R277"/>
    <mergeCell ref="A278:M278"/>
    <mergeCell ref="A217:A222"/>
    <mergeCell ref="A223:R223"/>
    <mergeCell ref="A224:M224"/>
    <mergeCell ref="A256:R256"/>
    <mergeCell ref="A260:R260"/>
    <mergeCell ref="A261:M261"/>
    <mergeCell ref="A257:A259"/>
    <mergeCell ref="A273:R273"/>
    <mergeCell ref="A287:M287"/>
    <mergeCell ref="A280:A285"/>
    <mergeCell ref="A274:A276"/>
    <mergeCell ref="A279:R279"/>
    <mergeCell ref="A286:R286"/>
    <mergeCell ref="A288:R288"/>
    <mergeCell ref="A225:R225"/>
    <mergeCell ref="A243:A244"/>
    <mergeCell ref="A242:R242"/>
    <mergeCell ref="A245:R245"/>
    <mergeCell ref="A246:M246"/>
    <mergeCell ref="A254:R254"/>
    <mergeCell ref="A106:M106"/>
    <mergeCell ref="A153:R153"/>
    <mergeCell ref="A165:R165"/>
    <mergeCell ref="A166:M166"/>
    <mergeCell ref="A162:R162"/>
    <mergeCell ref="A170:R170"/>
    <mergeCell ref="A134:R134"/>
    <mergeCell ref="A163:A164"/>
    <mergeCell ref="A90:R90"/>
    <mergeCell ref="A105:R105"/>
    <mergeCell ref="A107:R107"/>
    <mergeCell ref="A91:A104"/>
    <mergeCell ref="A126:A131"/>
    <mergeCell ref="A132:R132"/>
    <mergeCell ref="A133:M133"/>
    <mergeCell ref="A249:R249"/>
    <mergeCell ref="A250:A251"/>
    <mergeCell ref="A252:R252"/>
    <mergeCell ref="A214:R214"/>
    <mergeCell ref="A226:R226"/>
    <mergeCell ref="A227:A229"/>
    <mergeCell ref="A232:R232"/>
    <mergeCell ref="A247:R247"/>
    <mergeCell ref="A230:R230"/>
    <mergeCell ref="A231:M231"/>
    <mergeCell ref="A215:M215"/>
    <mergeCell ref="A216:R216"/>
    <mergeCell ref="A241:M241"/>
    <mergeCell ref="A208:R208"/>
    <mergeCell ref="A209:M209"/>
    <mergeCell ref="A210:R210"/>
    <mergeCell ref="A167:R167"/>
    <mergeCell ref="A146:R146"/>
    <mergeCell ref="A147:M147"/>
    <mergeCell ref="A156:R156"/>
    <mergeCell ref="A157:M157"/>
    <mergeCell ref="A185:R185"/>
    <mergeCell ref="A192:R192"/>
    <mergeCell ref="A202:M202"/>
    <mergeCell ref="A201:R201"/>
    <mergeCell ref="A160:R160"/>
    <mergeCell ref="A172:R172"/>
    <mergeCell ref="A193:A200"/>
    <mergeCell ref="A152:M152"/>
    <mergeCell ref="A186:A189"/>
    <mergeCell ref="A204:A207"/>
    <mergeCell ref="A39:M39"/>
    <mergeCell ref="A32:R32"/>
    <mergeCell ref="A33:R33"/>
    <mergeCell ref="A34:A37"/>
    <mergeCell ref="A108:A116"/>
    <mergeCell ref="A117:R117"/>
    <mergeCell ref="A118:M118"/>
    <mergeCell ref="A184:M184"/>
    <mergeCell ref="A175:A182"/>
    <mergeCell ref="A174:R174"/>
    <mergeCell ref="A183:R183"/>
    <mergeCell ref="A119:R119"/>
    <mergeCell ref="A120:A122"/>
    <mergeCell ref="A123:R123"/>
    <mergeCell ref="A135:R135"/>
    <mergeCell ref="A143:R143"/>
    <mergeCell ref="A148:R148"/>
    <mergeCell ref="A149:A150"/>
    <mergeCell ref="A151:R151"/>
    <mergeCell ref="A141:R141"/>
    <mergeCell ref="A142:M142"/>
    <mergeCell ref="A65:R65"/>
    <mergeCell ref="A55:A64"/>
    <mergeCell ref="A72:R72"/>
    <mergeCell ref="A211:A213"/>
    <mergeCell ref="A12:O12"/>
    <mergeCell ref="A13:O13"/>
    <mergeCell ref="A14:O14"/>
    <mergeCell ref="A15:O15"/>
    <mergeCell ref="A16:O16"/>
    <mergeCell ref="A171:M171"/>
    <mergeCell ref="A168:A169"/>
    <mergeCell ref="A158:R158"/>
    <mergeCell ref="A154:A155"/>
    <mergeCell ref="A124:M124"/>
    <mergeCell ref="A31:R31"/>
    <mergeCell ref="A47:R47"/>
    <mergeCell ref="A48:A49"/>
    <mergeCell ref="A50:R50"/>
    <mergeCell ref="A51:M51"/>
    <mergeCell ref="A52:R52"/>
    <mergeCell ref="A40:R40"/>
    <mergeCell ref="A42:R42"/>
    <mergeCell ref="A43:A44"/>
    <mergeCell ref="A45:R45"/>
    <mergeCell ref="A46:M46"/>
    <mergeCell ref="A88:R88"/>
    <mergeCell ref="A54:R54"/>
    <mergeCell ref="A1:O1"/>
    <mergeCell ref="A3:O3"/>
    <mergeCell ref="A4:O4"/>
    <mergeCell ref="A6:O6"/>
    <mergeCell ref="A7:O7"/>
    <mergeCell ref="A8:O8"/>
    <mergeCell ref="A9:O9"/>
    <mergeCell ref="A10:O10"/>
    <mergeCell ref="A11:O11"/>
    <mergeCell ref="A17:O17"/>
    <mergeCell ref="A18:O18"/>
    <mergeCell ref="A19:O19"/>
    <mergeCell ref="A21:O21"/>
    <mergeCell ref="A190:R190"/>
    <mergeCell ref="A191:M191"/>
    <mergeCell ref="A144:A145"/>
    <mergeCell ref="A203:R203"/>
    <mergeCell ref="A28:A29"/>
    <mergeCell ref="B28:B29"/>
    <mergeCell ref="C28:C29"/>
    <mergeCell ref="N28:N29"/>
    <mergeCell ref="O28:O29"/>
    <mergeCell ref="Q28:R28"/>
    <mergeCell ref="A66:M66"/>
    <mergeCell ref="A68:A69"/>
    <mergeCell ref="A67:R67"/>
    <mergeCell ref="A89:M89"/>
    <mergeCell ref="A70:R70"/>
    <mergeCell ref="A71:M71"/>
    <mergeCell ref="A136:A140"/>
    <mergeCell ref="A73:A87"/>
    <mergeCell ref="A38:R38"/>
    <mergeCell ref="A125:R125"/>
  </mergeCells>
  <pageMargins left="0.31496062992125984" right="0.31496062992125984" top="0.74803149606299213" bottom="0.55118110236220474" header="0.31496062992125984" footer="0.31496062992125984"/>
  <pageSetup paperSize="9" firstPageNumber="18" orientation="landscape" useFirstPageNumber="1" r:id="rId1"/>
  <headerFoot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0E8E4-5D5A-4877-ADE4-4DD65FF74F59}">
  <sheetPr>
    <tabColor theme="0"/>
  </sheetPr>
  <dimension ref="A1:AC236"/>
  <sheetViews>
    <sheetView view="pageBreakPreview" topLeftCell="A187" zoomScaleNormal="100" zoomScaleSheetLayoutView="100" workbookViewId="0">
      <selection activeCell="AB235" sqref="AB235"/>
    </sheetView>
  </sheetViews>
  <sheetFormatPr defaultRowHeight="15" x14ac:dyDescent="0.25"/>
  <cols>
    <col min="1" max="1" width="5" customWidth="1"/>
    <col min="2" max="2" width="18.85546875" customWidth="1"/>
    <col min="3" max="3" width="12.85546875" customWidth="1"/>
    <col min="4" max="4" width="5.140625" customWidth="1"/>
    <col min="5" max="6" width="4.5703125" customWidth="1"/>
    <col min="7" max="7" width="4.42578125" customWidth="1"/>
    <col min="8" max="9" width="4.140625" customWidth="1"/>
    <col min="10" max="10" width="4.5703125" customWidth="1"/>
    <col min="11" max="11" width="4" customWidth="1"/>
    <col min="12" max="12" width="4.5703125" customWidth="1"/>
    <col min="13" max="13" width="5.140625" customWidth="1"/>
    <col min="14" max="14" width="3.85546875" customWidth="1"/>
    <col min="15" max="15" width="3.28515625" customWidth="1"/>
    <col min="16" max="16" width="5" customWidth="1"/>
    <col min="17" max="17" width="4.140625" customWidth="1"/>
    <col min="18" max="18" width="17.5703125" customWidth="1"/>
    <col min="19" max="19" width="5.85546875" customWidth="1"/>
    <col min="20" max="20" width="7.28515625" customWidth="1"/>
    <col min="21" max="21" width="9.85546875" customWidth="1"/>
    <col min="22" max="23" width="8" style="3" customWidth="1"/>
    <col min="24" max="26" width="9.140625" style="3"/>
  </cols>
  <sheetData>
    <row r="1" spans="1:26" s="61" customFormat="1" ht="18.75" customHeight="1" x14ac:dyDescent="0.25">
      <c r="A1" s="1116" t="s">
        <v>779</v>
      </c>
      <c r="B1" s="1116"/>
      <c r="C1" s="1116"/>
      <c r="D1" s="1116"/>
      <c r="E1" s="1116"/>
      <c r="F1" s="1116"/>
      <c r="G1" s="1116"/>
      <c r="H1" s="1116"/>
      <c r="I1" s="1116"/>
      <c r="J1" s="1116"/>
      <c r="K1" s="1116"/>
      <c r="L1" s="1116"/>
      <c r="M1" s="1116"/>
      <c r="N1" s="1116"/>
      <c r="O1" s="1116"/>
      <c r="P1" s="1116"/>
      <c r="Q1" s="1116"/>
      <c r="R1" s="1116"/>
      <c r="S1" s="1116"/>
      <c r="T1" s="1116"/>
      <c r="U1" s="1116"/>
      <c r="V1" s="873"/>
      <c r="W1" s="873"/>
      <c r="X1" s="863"/>
      <c r="Y1" s="863"/>
      <c r="Z1" s="863"/>
    </row>
    <row r="2" spans="1:26" s="61" customFormat="1" ht="12.75" customHeight="1" x14ac:dyDescent="0.25">
      <c r="A2" s="180"/>
      <c r="V2" s="863"/>
      <c r="W2" s="863"/>
      <c r="X2" s="863"/>
      <c r="Y2" s="863"/>
      <c r="Z2" s="863"/>
    </row>
    <row r="3" spans="1:26" s="62" customFormat="1" ht="15.75" x14ac:dyDescent="0.25">
      <c r="A3" s="1170" t="s">
        <v>611</v>
      </c>
      <c r="B3" s="1170"/>
      <c r="C3" s="1170"/>
      <c r="D3" s="1170"/>
      <c r="E3" s="1170"/>
      <c r="F3" s="1170"/>
      <c r="G3" s="1170"/>
      <c r="H3" s="1170"/>
      <c r="I3" s="1170"/>
      <c r="J3" s="1170"/>
      <c r="K3" s="1170"/>
      <c r="L3" s="1170"/>
      <c r="M3" s="1170"/>
      <c r="N3" s="1170"/>
      <c r="O3" s="1170"/>
      <c r="V3" s="863"/>
      <c r="W3" s="863"/>
      <c r="X3" s="863"/>
      <c r="Y3" s="863"/>
      <c r="Z3" s="863"/>
    </row>
    <row r="4" spans="1:26" s="62" customFormat="1" ht="15.75" x14ac:dyDescent="0.25">
      <c r="A4" s="1101" t="s">
        <v>612</v>
      </c>
      <c r="B4" s="1101"/>
      <c r="C4" s="1101"/>
      <c r="D4" s="1101"/>
      <c r="E4" s="1101"/>
      <c r="F4" s="1101"/>
      <c r="G4" s="1101"/>
      <c r="H4" s="1101"/>
      <c r="I4" s="1101"/>
      <c r="J4" s="1101"/>
      <c r="K4" s="1101"/>
      <c r="L4" s="1101"/>
      <c r="M4" s="1101"/>
      <c r="N4" s="1101"/>
      <c r="O4" s="1101"/>
      <c r="V4" s="863"/>
      <c r="W4" s="863"/>
      <c r="X4" s="863"/>
      <c r="Y4" s="863"/>
      <c r="Z4" s="863"/>
    </row>
    <row r="5" spans="1:26" s="61" customFormat="1" ht="12" customHeight="1" x14ac:dyDescent="0.25">
      <c r="A5" s="180"/>
      <c r="V5" s="863"/>
      <c r="W5" s="863"/>
      <c r="X5" s="863"/>
      <c r="Y5" s="863"/>
      <c r="Z5" s="863"/>
    </row>
    <row r="6" spans="1:26" s="61" customFormat="1" ht="28.5" customHeight="1" x14ac:dyDescent="0.25">
      <c r="A6" s="1117" t="s">
        <v>740</v>
      </c>
      <c r="B6" s="1117"/>
      <c r="C6" s="1117"/>
      <c r="D6" s="1117"/>
      <c r="E6" s="1117"/>
      <c r="F6" s="1117"/>
      <c r="G6" s="1117"/>
      <c r="H6" s="1117"/>
      <c r="I6" s="1117"/>
      <c r="J6" s="1117"/>
      <c r="K6" s="1117"/>
      <c r="L6" s="1117"/>
      <c r="M6" s="1117"/>
      <c r="N6" s="1117"/>
      <c r="O6" s="1117"/>
      <c r="P6" s="1117"/>
      <c r="Q6" s="1117"/>
      <c r="R6" s="1117"/>
      <c r="S6" s="1117"/>
      <c r="T6" s="1117"/>
      <c r="U6" s="1117"/>
      <c r="V6" s="843"/>
      <c r="W6" s="843"/>
      <c r="X6" s="863"/>
      <c r="Y6" s="863"/>
      <c r="Z6" s="863"/>
    </row>
    <row r="7" spans="1:26" s="61" customFormat="1" ht="25.5" customHeight="1" x14ac:dyDescent="0.25">
      <c r="A7" s="1116" t="s">
        <v>741</v>
      </c>
      <c r="B7" s="1116"/>
      <c r="C7" s="1116"/>
      <c r="D7" s="1116"/>
      <c r="E7" s="1116"/>
      <c r="F7" s="1116"/>
      <c r="G7" s="1116"/>
      <c r="H7" s="1116"/>
      <c r="I7" s="1116"/>
      <c r="J7" s="1116"/>
      <c r="K7" s="1116"/>
      <c r="L7" s="1116"/>
      <c r="M7" s="1116"/>
      <c r="N7" s="1116"/>
      <c r="O7" s="1116"/>
      <c r="P7" s="1116"/>
      <c r="Q7" s="1116"/>
      <c r="R7" s="1116"/>
      <c r="S7" s="1116"/>
      <c r="T7" s="1116"/>
      <c r="U7" s="1116"/>
      <c r="V7" s="873"/>
      <c r="W7" s="873"/>
      <c r="X7" s="863"/>
      <c r="Y7" s="863"/>
      <c r="Z7" s="863"/>
    </row>
    <row r="8" spans="1:26" s="61" customFormat="1" ht="27.75" customHeight="1" x14ac:dyDescent="0.25">
      <c r="A8" s="1117" t="s">
        <v>742</v>
      </c>
      <c r="B8" s="1117"/>
      <c r="C8" s="1117"/>
      <c r="D8" s="1117"/>
      <c r="E8" s="1117"/>
      <c r="F8" s="1117"/>
      <c r="G8" s="1117"/>
      <c r="H8" s="1117"/>
      <c r="I8" s="1117"/>
      <c r="J8" s="1117"/>
      <c r="K8" s="1117"/>
      <c r="L8" s="1117"/>
      <c r="M8" s="1117"/>
      <c r="N8" s="1117"/>
      <c r="O8" s="1117"/>
      <c r="V8" s="863"/>
      <c r="W8" s="863"/>
      <c r="X8" s="863"/>
      <c r="Y8" s="863"/>
      <c r="Z8" s="863"/>
    </row>
    <row r="9" spans="1:26" s="61" customFormat="1" ht="25.5" customHeight="1" x14ac:dyDescent="0.25">
      <c r="A9" s="1116" t="s">
        <v>743</v>
      </c>
      <c r="B9" s="1116"/>
      <c r="C9" s="1116"/>
      <c r="D9" s="1116"/>
      <c r="E9" s="1116"/>
      <c r="F9" s="1116"/>
      <c r="G9" s="1116"/>
      <c r="H9" s="1116"/>
      <c r="I9" s="1116"/>
      <c r="J9" s="1116"/>
      <c r="K9" s="1116"/>
      <c r="L9" s="1116"/>
      <c r="M9" s="1116"/>
      <c r="N9" s="1116"/>
      <c r="O9" s="1116"/>
      <c r="P9" s="1116"/>
      <c r="Q9" s="1116"/>
      <c r="R9" s="1116"/>
      <c r="S9" s="1116"/>
      <c r="T9" s="1116"/>
      <c r="U9" s="1116"/>
      <c r="V9" s="873"/>
      <c r="W9" s="873"/>
      <c r="X9" s="863"/>
      <c r="Y9" s="863"/>
      <c r="Z9" s="863"/>
    </row>
    <row r="10" spans="1:26" s="61" customFormat="1" ht="15.75" x14ac:dyDescent="0.25">
      <c r="A10" s="1101" t="s">
        <v>744</v>
      </c>
      <c r="B10" s="1101"/>
      <c r="C10" s="1101"/>
      <c r="D10" s="1101"/>
      <c r="E10" s="1101"/>
      <c r="F10" s="1101"/>
      <c r="G10" s="1101"/>
      <c r="H10" s="1101"/>
      <c r="I10" s="1101"/>
      <c r="J10" s="1101"/>
      <c r="K10" s="1101"/>
      <c r="L10" s="1101"/>
      <c r="M10" s="1101"/>
      <c r="N10" s="1101"/>
      <c r="O10" s="1101"/>
      <c r="V10" s="863"/>
      <c r="W10" s="863"/>
      <c r="X10" s="863"/>
      <c r="Y10" s="863"/>
      <c r="Z10" s="863"/>
    </row>
    <row r="11" spans="1:26" s="62" customFormat="1" ht="16.5" customHeight="1" x14ac:dyDescent="0.25">
      <c r="A11" s="1101" t="s">
        <v>745</v>
      </c>
      <c r="B11" s="1101"/>
      <c r="C11" s="1101"/>
      <c r="D11" s="1101"/>
      <c r="E11" s="1101"/>
      <c r="F11" s="1101"/>
      <c r="G11" s="1101"/>
      <c r="H11" s="1101"/>
      <c r="I11" s="1101"/>
      <c r="J11" s="1101"/>
      <c r="K11" s="1101"/>
      <c r="L11" s="1101"/>
      <c r="M11" s="1101"/>
      <c r="N11" s="1101"/>
      <c r="O11" s="1101"/>
      <c r="V11" s="863"/>
      <c r="W11" s="863"/>
      <c r="X11" s="863"/>
      <c r="Y11" s="863"/>
      <c r="Z11" s="863"/>
    </row>
    <row r="12" spans="1:26" s="62" customFormat="1" ht="15.75" x14ac:dyDescent="0.25">
      <c r="A12" s="1101" t="s">
        <v>746</v>
      </c>
      <c r="B12" s="1101"/>
      <c r="C12" s="1101"/>
      <c r="D12" s="1101"/>
      <c r="E12" s="1101"/>
      <c r="F12" s="1101"/>
      <c r="G12" s="1101"/>
      <c r="H12" s="1101"/>
      <c r="I12" s="1101"/>
      <c r="J12" s="1101"/>
      <c r="K12" s="1101"/>
      <c r="L12" s="1101"/>
      <c r="M12" s="1101"/>
      <c r="N12" s="1101"/>
      <c r="O12" s="1101"/>
      <c r="V12" s="863"/>
      <c r="W12" s="863"/>
      <c r="X12" s="863"/>
      <c r="Y12" s="863"/>
      <c r="Z12" s="863"/>
    </row>
    <row r="13" spans="1:26" s="62" customFormat="1" ht="15.75" x14ac:dyDescent="0.25">
      <c r="A13" s="1101" t="s">
        <v>747</v>
      </c>
      <c r="B13" s="1101"/>
      <c r="C13" s="1101"/>
      <c r="D13" s="1101"/>
      <c r="E13" s="1101"/>
      <c r="F13" s="1101"/>
      <c r="G13" s="1101"/>
      <c r="H13" s="1101"/>
      <c r="I13" s="1101"/>
      <c r="J13" s="1101"/>
      <c r="K13" s="1101"/>
      <c r="L13" s="1101"/>
      <c r="M13" s="1101"/>
      <c r="N13" s="1101"/>
      <c r="O13" s="1101"/>
      <c r="V13" s="863"/>
      <c r="W13" s="863"/>
      <c r="X13" s="863"/>
      <c r="Y13" s="863"/>
      <c r="Z13" s="863"/>
    </row>
    <row r="14" spans="1:26" s="62" customFormat="1" ht="18.75" customHeight="1" x14ac:dyDescent="0.25">
      <c r="A14" s="1101" t="s">
        <v>1017</v>
      </c>
      <c r="B14" s="1101"/>
      <c r="C14" s="1101"/>
      <c r="D14" s="1101"/>
      <c r="E14" s="1101"/>
      <c r="F14" s="1101"/>
      <c r="G14" s="1101"/>
      <c r="H14" s="1101"/>
      <c r="I14" s="1101"/>
      <c r="J14" s="1101"/>
      <c r="K14" s="1101"/>
      <c r="L14" s="1101"/>
      <c r="M14" s="1101"/>
      <c r="N14" s="1101"/>
      <c r="O14" s="1101"/>
      <c r="P14" s="1101"/>
      <c r="Q14" s="1101"/>
      <c r="R14" s="1101"/>
      <c r="S14" s="1101"/>
      <c r="T14" s="1101"/>
      <c r="U14" s="1101"/>
      <c r="V14" s="843"/>
      <c r="W14" s="843"/>
      <c r="X14" s="863"/>
      <c r="Y14" s="863"/>
      <c r="Z14" s="863"/>
    </row>
    <row r="15" spans="1:26" s="62" customFormat="1" ht="15" customHeight="1" x14ac:dyDescent="0.25">
      <c r="A15" s="1101" t="s">
        <v>748</v>
      </c>
      <c r="B15" s="1101"/>
      <c r="C15" s="1101"/>
      <c r="D15" s="1101"/>
      <c r="E15" s="1101"/>
      <c r="F15" s="1101"/>
      <c r="G15" s="1101"/>
      <c r="H15" s="1101"/>
      <c r="I15" s="1101"/>
      <c r="J15" s="1101"/>
      <c r="K15" s="1101"/>
      <c r="L15" s="1101"/>
      <c r="M15" s="1101"/>
      <c r="N15" s="1101"/>
      <c r="O15" s="1101"/>
      <c r="V15" s="863"/>
      <c r="W15" s="863"/>
      <c r="X15" s="863"/>
      <c r="Y15" s="863"/>
      <c r="Z15" s="863"/>
    </row>
    <row r="16" spans="1:26" s="62" customFormat="1" ht="15" customHeight="1" x14ac:dyDescent="0.25">
      <c r="A16" s="1101" t="s">
        <v>749</v>
      </c>
      <c r="B16" s="1101"/>
      <c r="C16" s="1101"/>
      <c r="D16" s="1101"/>
      <c r="E16" s="1101"/>
      <c r="F16" s="1101"/>
      <c r="G16" s="1101"/>
      <c r="H16" s="1101"/>
      <c r="I16" s="1101"/>
      <c r="J16" s="1101"/>
      <c r="K16" s="1101"/>
      <c r="L16" s="1101"/>
      <c r="M16" s="1101"/>
      <c r="N16" s="1101"/>
      <c r="O16" s="1101"/>
      <c r="V16" s="863"/>
      <c r="W16" s="863"/>
      <c r="X16" s="863"/>
      <c r="Y16" s="863"/>
      <c r="Z16" s="863"/>
    </row>
    <row r="17" spans="1:26" s="62" customFormat="1" ht="15" customHeight="1" x14ac:dyDescent="0.25">
      <c r="A17" s="1101" t="s">
        <v>750</v>
      </c>
      <c r="B17" s="1101"/>
      <c r="C17" s="1101"/>
      <c r="D17" s="1101"/>
      <c r="E17" s="1101"/>
      <c r="F17" s="1101"/>
      <c r="G17" s="1101"/>
      <c r="H17" s="1101"/>
      <c r="I17" s="1101"/>
      <c r="J17" s="1101"/>
      <c r="K17" s="1101"/>
      <c r="L17" s="1101"/>
      <c r="M17" s="1101"/>
      <c r="N17" s="1101"/>
      <c r="O17" s="1101"/>
      <c r="P17" s="1101"/>
      <c r="Q17" s="1101"/>
      <c r="R17" s="1101"/>
      <c r="S17" s="1101"/>
      <c r="T17" s="1101"/>
      <c r="U17" s="1101"/>
      <c r="V17" s="843"/>
      <c r="W17" s="843"/>
      <c r="X17" s="863"/>
      <c r="Y17" s="863"/>
      <c r="Z17" s="863"/>
    </row>
    <row r="18" spans="1:26" s="62" customFormat="1" ht="35.1" customHeight="1" x14ac:dyDescent="0.25">
      <c r="A18" s="1101" t="s">
        <v>751</v>
      </c>
      <c r="B18" s="1101"/>
      <c r="C18" s="1101"/>
      <c r="D18" s="1101"/>
      <c r="E18" s="1101"/>
      <c r="F18" s="1101"/>
      <c r="G18" s="1101"/>
      <c r="H18" s="1101"/>
      <c r="I18" s="1101"/>
      <c r="J18" s="1101"/>
      <c r="K18" s="1101"/>
      <c r="L18" s="1101"/>
      <c r="M18" s="1101"/>
      <c r="N18" s="1101"/>
      <c r="O18" s="1101"/>
      <c r="P18" s="1101"/>
      <c r="Q18" s="1101"/>
      <c r="R18" s="1101"/>
      <c r="S18" s="1101"/>
      <c r="T18" s="1101"/>
      <c r="U18" s="1101"/>
      <c r="V18" s="843"/>
      <c r="W18" s="843"/>
      <c r="X18" s="863"/>
      <c r="Y18" s="863"/>
      <c r="Z18" s="863"/>
    </row>
    <row r="19" spans="1:26" s="62" customFormat="1" ht="15" customHeight="1" x14ac:dyDescent="0.25">
      <c r="A19" s="1101" t="s">
        <v>752</v>
      </c>
      <c r="B19" s="1101"/>
      <c r="C19" s="1101"/>
      <c r="D19" s="1101"/>
      <c r="E19" s="1101"/>
      <c r="F19" s="1101"/>
      <c r="G19" s="1101"/>
      <c r="H19" s="1101"/>
      <c r="I19" s="1101"/>
      <c r="J19" s="1101"/>
      <c r="K19" s="1101"/>
      <c r="L19" s="1101"/>
      <c r="M19" s="1101"/>
      <c r="N19" s="1101"/>
      <c r="O19" s="1101"/>
      <c r="V19" s="863"/>
      <c r="W19" s="863"/>
      <c r="X19" s="863"/>
      <c r="Y19" s="863"/>
      <c r="Z19" s="863"/>
    </row>
    <row r="20" spans="1:26" s="61" customFormat="1" ht="15" customHeight="1" x14ac:dyDescent="0.25">
      <c r="A20" s="1101" t="s">
        <v>753</v>
      </c>
      <c r="B20" s="1101"/>
      <c r="C20" s="1101"/>
      <c r="D20" s="1101"/>
      <c r="E20" s="1101"/>
      <c r="F20" s="1101"/>
      <c r="G20" s="1101"/>
      <c r="H20" s="1101"/>
      <c r="I20" s="1101"/>
      <c r="J20" s="1101"/>
      <c r="K20" s="1101"/>
      <c r="L20" s="1101"/>
      <c r="M20" s="1101"/>
      <c r="N20" s="1101"/>
      <c r="O20" s="1101"/>
      <c r="V20" s="863"/>
      <c r="W20" s="863"/>
      <c r="X20" s="863"/>
      <c r="Y20" s="863"/>
      <c r="Z20" s="863"/>
    </row>
    <row r="21" spans="1:26" s="61" customFormat="1" ht="15" customHeight="1" x14ac:dyDescent="0.25">
      <c r="A21" s="1101" t="s">
        <v>754</v>
      </c>
      <c r="B21" s="1101"/>
      <c r="C21" s="1101"/>
      <c r="D21" s="1101"/>
      <c r="E21" s="1101"/>
      <c r="F21" s="1101"/>
      <c r="G21" s="1101"/>
      <c r="H21" s="1101"/>
      <c r="I21" s="1101"/>
      <c r="J21" s="1101"/>
      <c r="K21" s="1101"/>
      <c r="L21" s="1101"/>
      <c r="M21" s="1101"/>
      <c r="N21" s="1101"/>
      <c r="O21" s="1101"/>
      <c r="V21" s="863"/>
      <c r="W21" s="863"/>
      <c r="X21" s="863"/>
      <c r="Y21" s="863"/>
      <c r="Z21" s="863"/>
    </row>
    <row r="22" spans="1:26" s="61" customFormat="1" ht="15" customHeight="1" x14ac:dyDescent="0.25">
      <c r="A22" s="1101" t="s">
        <v>755</v>
      </c>
      <c r="B22" s="1101"/>
      <c r="C22" s="1101"/>
      <c r="D22" s="1101"/>
      <c r="E22" s="1101"/>
      <c r="F22" s="1101"/>
      <c r="G22" s="1101"/>
      <c r="H22" s="1101"/>
      <c r="I22" s="1101"/>
      <c r="J22" s="1101"/>
      <c r="K22" s="1101"/>
      <c r="L22" s="1101"/>
      <c r="M22" s="1101"/>
      <c r="N22" s="1101"/>
      <c r="O22" s="1101"/>
      <c r="V22" s="863"/>
      <c r="W22" s="863"/>
      <c r="X22" s="863"/>
      <c r="Y22" s="863"/>
      <c r="Z22" s="863"/>
    </row>
    <row r="23" spans="1:26" s="61" customFormat="1" ht="17.25" customHeight="1" x14ac:dyDescent="0.25">
      <c r="A23" s="1101" t="s">
        <v>756</v>
      </c>
      <c r="B23" s="1101"/>
      <c r="C23" s="1101"/>
      <c r="D23" s="1101"/>
      <c r="E23" s="1101"/>
      <c r="F23" s="1101"/>
      <c r="G23" s="1101"/>
      <c r="H23" s="1101"/>
      <c r="I23" s="1101"/>
      <c r="J23" s="1101"/>
      <c r="K23" s="1101"/>
      <c r="L23" s="1101"/>
      <c r="M23" s="1101"/>
      <c r="N23" s="1101"/>
      <c r="O23" s="1101"/>
      <c r="P23" s="1101"/>
      <c r="Q23" s="1101"/>
      <c r="R23" s="1101"/>
      <c r="S23" s="1101"/>
      <c r="T23" s="1101"/>
      <c r="U23" s="1101"/>
      <c r="V23" s="843"/>
      <c r="W23" s="843"/>
      <c r="X23" s="863"/>
      <c r="Y23" s="863"/>
      <c r="Z23" s="863"/>
    </row>
    <row r="24" spans="1:26" s="61" customFormat="1" ht="15" customHeight="1" x14ac:dyDescent="0.25">
      <c r="A24" s="1101" t="s">
        <v>757</v>
      </c>
      <c r="B24" s="1101"/>
      <c r="C24" s="1101"/>
      <c r="D24" s="1101"/>
      <c r="E24" s="1101"/>
      <c r="F24" s="1101"/>
      <c r="G24" s="1101"/>
      <c r="H24" s="1101"/>
      <c r="I24" s="1101"/>
      <c r="J24" s="1101"/>
      <c r="K24" s="1101"/>
      <c r="L24" s="1101"/>
      <c r="M24" s="1101"/>
      <c r="N24" s="1101"/>
      <c r="O24" s="1101"/>
      <c r="V24" s="863"/>
      <c r="W24" s="863"/>
      <c r="X24" s="863"/>
      <c r="Y24" s="863"/>
      <c r="Z24" s="863"/>
    </row>
    <row r="25" spans="1:26" s="62" customFormat="1" ht="15" customHeight="1" x14ac:dyDescent="0.25">
      <c r="A25" s="1101" t="s">
        <v>758</v>
      </c>
      <c r="B25" s="1101"/>
      <c r="C25" s="1101"/>
      <c r="D25" s="1101"/>
      <c r="E25" s="1101"/>
      <c r="F25" s="1101"/>
      <c r="G25" s="1101"/>
      <c r="H25" s="1101"/>
      <c r="I25" s="1101"/>
      <c r="J25" s="1101"/>
      <c r="K25" s="1101"/>
      <c r="L25" s="1101"/>
      <c r="M25" s="1101"/>
      <c r="N25" s="1101"/>
      <c r="O25" s="1101"/>
      <c r="V25" s="863"/>
      <c r="W25" s="863"/>
      <c r="X25" s="863"/>
      <c r="Y25" s="863"/>
      <c r="Z25" s="863"/>
    </row>
    <row r="26" spans="1:26" s="61" customFormat="1" ht="15" customHeight="1" x14ac:dyDescent="0.25">
      <c r="A26" s="1101" t="s">
        <v>759</v>
      </c>
      <c r="B26" s="1101"/>
      <c r="C26" s="1101"/>
      <c r="D26" s="1101"/>
      <c r="E26" s="1101"/>
      <c r="F26" s="1101"/>
      <c r="G26" s="1101"/>
      <c r="H26" s="1101"/>
      <c r="I26" s="1101"/>
      <c r="J26" s="1101"/>
      <c r="K26" s="1101"/>
      <c r="L26" s="1101"/>
      <c r="M26" s="1101"/>
      <c r="N26" s="1101"/>
      <c r="O26" s="1101"/>
      <c r="V26" s="863"/>
      <c r="W26" s="863"/>
      <c r="X26" s="863"/>
      <c r="Y26" s="863"/>
      <c r="Z26" s="863"/>
    </row>
    <row r="27" spans="1:26" s="61" customFormat="1" ht="9" customHeight="1" x14ac:dyDescent="0.25">
      <c r="A27" s="1101"/>
      <c r="B27" s="1101"/>
      <c r="C27" s="1101"/>
      <c r="D27" s="1101"/>
      <c r="E27" s="1101"/>
      <c r="F27" s="1101"/>
      <c r="G27" s="1101"/>
      <c r="H27" s="1101"/>
      <c r="I27" s="1101"/>
      <c r="J27" s="1101"/>
      <c r="K27" s="1101"/>
      <c r="L27" s="1101"/>
      <c r="M27" s="1101"/>
      <c r="N27" s="1101"/>
      <c r="O27" s="1101"/>
      <c r="V27" s="863"/>
      <c r="W27" s="863"/>
      <c r="X27" s="863"/>
      <c r="Y27" s="863"/>
      <c r="Z27" s="863"/>
    </row>
    <row r="28" spans="1:26" s="61" customFormat="1" ht="18.75" customHeight="1" x14ac:dyDescent="0.25">
      <c r="A28" s="1117" t="s">
        <v>777</v>
      </c>
      <c r="B28" s="1117"/>
      <c r="C28" s="1117"/>
      <c r="D28" s="1117"/>
      <c r="E28" s="1117"/>
      <c r="F28" s="1117"/>
      <c r="G28" s="1117"/>
      <c r="H28" s="1117"/>
      <c r="I28" s="1117"/>
      <c r="J28" s="1117"/>
      <c r="K28" s="1117"/>
      <c r="L28" s="1117"/>
      <c r="M28" s="1117"/>
      <c r="N28" s="1117"/>
      <c r="O28" s="1117"/>
      <c r="P28" s="1117"/>
      <c r="Q28" s="1117"/>
      <c r="R28" s="1117"/>
      <c r="S28" s="1117"/>
      <c r="T28" s="1117"/>
      <c r="U28" s="1117"/>
      <c r="V28" s="843"/>
      <c r="W28" s="843"/>
      <c r="X28" s="863"/>
      <c r="Y28" s="863"/>
      <c r="Z28" s="863"/>
    </row>
    <row r="29" spans="1:26" s="61" customFormat="1" ht="18.75" customHeight="1" x14ac:dyDescent="0.25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843"/>
      <c r="W29" s="843"/>
      <c r="X29" s="863"/>
      <c r="Y29" s="863"/>
      <c r="Z29" s="863"/>
    </row>
    <row r="30" spans="1:26" s="61" customFormat="1" ht="13.5" customHeight="1" x14ac:dyDescent="0.2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843"/>
      <c r="W30" s="843"/>
      <c r="X30" s="863"/>
      <c r="Y30" s="863"/>
      <c r="Z30" s="863"/>
    </row>
    <row r="31" spans="1:26" ht="15.75" x14ac:dyDescent="0.25">
      <c r="A31" s="1158" t="s">
        <v>778</v>
      </c>
      <c r="B31" s="1158"/>
      <c r="C31" s="1158"/>
      <c r="D31" s="1158"/>
      <c r="E31" s="1158"/>
      <c r="F31" s="1158"/>
      <c r="G31" s="1158"/>
      <c r="H31" s="1158"/>
      <c r="I31" s="1158"/>
      <c r="J31" s="1158"/>
      <c r="K31" s="1158"/>
      <c r="L31" s="1158"/>
      <c r="M31" s="1158"/>
      <c r="N31" s="1158"/>
      <c r="O31" s="1158"/>
      <c r="P31" s="1158"/>
      <c r="Q31" s="1158"/>
      <c r="R31" s="1158"/>
      <c r="S31" s="1158"/>
      <c r="T31" s="1158"/>
      <c r="U31" s="1158"/>
      <c r="V31" s="596"/>
      <c r="W31" s="596"/>
    </row>
    <row r="32" spans="1:26" ht="25.5" x14ac:dyDescent="0.25">
      <c r="A32" s="193" t="s">
        <v>0</v>
      </c>
      <c r="B32" s="193" t="s">
        <v>19</v>
      </c>
      <c r="C32" s="193" t="s">
        <v>2</v>
      </c>
      <c r="D32" s="193" t="s">
        <v>1018</v>
      </c>
      <c r="E32" s="193" t="s">
        <v>1019</v>
      </c>
      <c r="F32" s="193" t="s">
        <v>1020</v>
      </c>
      <c r="G32" s="193" t="s">
        <v>1021</v>
      </c>
      <c r="H32" s="193" t="s">
        <v>1022</v>
      </c>
      <c r="I32" s="193" t="s">
        <v>1023</v>
      </c>
      <c r="J32" s="193" t="s">
        <v>1024</v>
      </c>
      <c r="K32" s="193" t="s">
        <v>20</v>
      </c>
      <c r="L32" s="193" t="s">
        <v>21</v>
      </c>
      <c r="M32" s="193" t="s">
        <v>1025</v>
      </c>
      <c r="N32" s="193" t="s">
        <v>22</v>
      </c>
      <c r="O32" s="193" t="s">
        <v>1026</v>
      </c>
      <c r="P32" s="193" t="s">
        <v>23</v>
      </c>
      <c r="Q32" s="193" t="s">
        <v>24</v>
      </c>
      <c r="R32" s="193" t="s">
        <v>3</v>
      </c>
      <c r="S32" s="193" t="s">
        <v>4</v>
      </c>
      <c r="T32" s="193" t="s">
        <v>938</v>
      </c>
      <c r="U32" s="193" t="s">
        <v>25</v>
      </c>
      <c r="V32" s="850"/>
      <c r="W32" s="850"/>
    </row>
    <row r="33" spans="1:29" ht="15" customHeight="1" x14ac:dyDescent="0.25">
      <c r="A33" s="193">
        <v>1</v>
      </c>
      <c r="B33" s="193">
        <v>2</v>
      </c>
      <c r="C33" s="193">
        <v>3</v>
      </c>
      <c r="D33" s="193">
        <v>4</v>
      </c>
      <c r="E33" s="193">
        <v>5</v>
      </c>
      <c r="F33" s="193">
        <v>6</v>
      </c>
      <c r="G33" s="193">
        <v>7</v>
      </c>
      <c r="H33" s="193">
        <v>8</v>
      </c>
      <c r="I33" s="193">
        <v>9</v>
      </c>
      <c r="J33" s="193">
        <v>10</v>
      </c>
      <c r="K33" s="193">
        <v>11</v>
      </c>
      <c r="L33" s="193">
        <v>12</v>
      </c>
      <c r="M33" s="193">
        <v>13</v>
      </c>
      <c r="N33" s="193">
        <v>14</v>
      </c>
      <c r="O33" s="193">
        <v>15</v>
      </c>
      <c r="P33" s="193">
        <v>16</v>
      </c>
      <c r="Q33" s="193">
        <v>17</v>
      </c>
      <c r="R33" s="193">
        <v>18</v>
      </c>
      <c r="S33" s="193">
        <v>19</v>
      </c>
      <c r="T33" s="193">
        <v>20</v>
      </c>
      <c r="U33" s="193">
        <v>21</v>
      </c>
      <c r="V33" s="850"/>
      <c r="W33" s="850"/>
      <c r="AC33" s="63"/>
    </row>
    <row r="34" spans="1:29" ht="15" customHeight="1" x14ac:dyDescent="0.25">
      <c r="A34" s="1174" t="s">
        <v>356</v>
      </c>
      <c r="B34" s="1267"/>
      <c r="C34" s="1267"/>
      <c r="D34" s="1267"/>
      <c r="E34" s="1267"/>
      <c r="F34" s="1267"/>
      <c r="G34" s="1267"/>
      <c r="H34" s="1267"/>
      <c r="I34" s="1267"/>
      <c r="J34" s="1267"/>
      <c r="K34" s="1267"/>
      <c r="L34" s="1267"/>
      <c r="M34" s="1267"/>
      <c r="N34" s="1267"/>
      <c r="O34" s="1267"/>
      <c r="P34" s="1267"/>
      <c r="Q34" s="1267"/>
      <c r="R34" s="1267"/>
      <c r="S34" s="1267"/>
      <c r="T34" s="1267"/>
      <c r="U34" s="1268"/>
      <c r="V34" s="64"/>
      <c r="W34" s="64"/>
    </row>
    <row r="35" spans="1:29" ht="15" customHeight="1" x14ac:dyDescent="0.25">
      <c r="A35" s="1178" t="s">
        <v>5</v>
      </c>
      <c r="B35" s="1179"/>
      <c r="C35" s="1179"/>
      <c r="D35" s="1179"/>
      <c r="E35" s="1179"/>
      <c r="F35" s="1179"/>
      <c r="G35" s="1179"/>
      <c r="H35" s="1179"/>
      <c r="I35" s="1179"/>
      <c r="J35" s="1179"/>
      <c r="K35" s="1179"/>
      <c r="L35" s="1179"/>
      <c r="M35" s="1179"/>
      <c r="N35" s="1179"/>
      <c r="O35" s="1179"/>
      <c r="P35" s="1179"/>
      <c r="Q35" s="1179"/>
      <c r="R35" s="1179"/>
      <c r="S35" s="1179"/>
      <c r="T35" s="1179"/>
      <c r="U35" s="1180"/>
      <c r="V35" s="847"/>
      <c r="W35" s="847"/>
      <c r="X35" s="4"/>
      <c r="Y35" s="4"/>
      <c r="Z35" s="4"/>
      <c r="AA35" s="2"/>
    </row>
    <row r="36" spans="1:29" ht="15" customHeight="1" x14ac:dyDescent="0.25">
      <c r="A36" s="1178" t="s">
        <v>8</v>
      </c>
      <c r="B36" s="1269"/>
      <c r="C36" s="1269"/>
      <c r="D36" s="1269"/>
      <c r="E36" s="1269"/>
      <c r="F36" s="1269"/>
      <c r="G36" s="1269"/>
      <c r="H36" s="1269"/>
      <c r="I36" s="1269"/>
      <c r="J36" s="1269"/>
      <c r="K36" s="1269"/>
      <c r="L36" s="1269"/>
      <c r="M36" s="1269"/>
      <c r="N36" s="1269"/>
      <c r="O36" s="1269"/>
      <c r="P36" s="1269"/>
      <c r="Q36" s="1269"/>
      <c r="R36" s="1269"/>
      <c r="S36" s="1269"/>
      <c r="T36" s="1269"/>
      <c r="U36" s="1270"/>
      <c r="V36" s="874"/>
      <c r="W36" s="874"/>
      <c r="X36" s="5" t="s">
        <v>15</v>
      </c>
      <c r="Y36" s="5" t="s">
        <v>7</v>
      </c>
      <c r="Z36" s="4"/>
      <c r="AA36" s="2"/>
    </row>
    <row r="37" spans="1:29" ht="24.95" customHeight="1" x14ac:dyDescent="0.25">
      <c r="A37" s="1193" t="s">
        <v>357</v>
      </c>
      <c r="B37" s="21" t="s">
        <v>26</v>
      </c>
      <c r="C37" s="1192" t="s">
        <v>10</v>
      </c>
      <c r="D37" s="7">
        <v>1.3</v>
      </c>
      <c r="E37" s="7">
        <v>3.5</v>
      </c>
      <c r="F37" s="7">
        <v>1</v>
      </c>
      <c r="G37" s="7">
        <v>1.3</v>
      </c>
      <c r="H37" s="7">
        <v>1.2</v>
      </c>
      <c r="I37" s="7">
        <v>0.01</v>
      </c>
      <c r="J37" s="7">
        <v>0.01</v>
      </c>
      <c r="K37" s="7">
        <v>4</v>
      </c>
      <c r="L37" s="7">
        <v>1450</v>
      </c>
      <c r="M37" s="7">
        <v>2E-3</v>
      </c>
      <c r="N37" s="7">
        <v>1.5</v>
      </c>
      <c r="O37" s="7">
        <v>14</v>
      </c>
      <c r="P37" s="7">
        <v>2</v>
      </c>
      <c r="Q37" s="7">
        <f>ROUND((Y37/X37),0)</f>
        <v>829</v>
      </c>
      <c r="R37" s="8" t="s">
        <v>27</v>
      </c>
      <c r="S37" s="8">
        <v>2908</v>
      </c>
      <c r="T37" s="7">
        <f>ROUND((D37*E37*F37*K37*N37*L37*I37*J37/3600)+(G37*H37*I37*M37*O37*P37),4)</f>
        <v>2E-3</v>
      </c>
      <c r="U37" s="7">
        <f>ROUND((((3.6*T37*Q37)/1000)),4)</f>
        <v>6.0000000000000001E-3</v>
      </c>
      <c r="V37" s="25"/>
      <c r="W37" s="25"/>
      <c r="X37" s="5">
        <v>25</v>
      </c>
      <c r="Y37" s="5">
        <f>51814*0.4</f>
        <v>20725.600000000002</v>
      </c>
      <c r="Z37" s="5"/>
      <c r="AA37" s="1"/>
    </row>
    <row r="38" spans="1:29" ht="24.95" customHeight="1" x14ac:dyDescent="0.25">
      <c r="A38" s="1271"/>
      <c r="B38" s="21" t="s">
        <v>28</v>
      </c>
      <c r="C38" s="1191"/>
      <c r="D38" s="7">
        <v>1.9</v>
      </c>
      <c r="E38" s="7">
        <v>3.5</v>
      </c>
      <c r="F38" s="7">
        <v>1</v>
      </c>
      <c r="G38" s="7">
        <v>1.3</v>
      </c>
      <c r="H38" s="7">
        <v>1.2</v>
      </c>
      <c r="I38" s="7">
        <v>0.01</v>
      </c>
      <c r="J38" s="7">
        <v>0.01</v>
      </c>
      <c r="K38" s="7">
        <v>2</v>
      </c>
      <c r="L38" s="7">
        <v>1450</v>
      </c>
      <c r="M38" s="7">
        <v>2E-3</v>
      </c>
      <c r="N38" s="7">
        <v>1.5</v>
      </c>
      <c r="O38" s="7">
        <v>14</v>
      </c>
      <c r="P38" s="7">
        <v>1</v>
      </c>
      <c r="Q38" s="7">
        <f>ROUND((Y38/X38),0)</f>
        <v>1244</v>
      </c>
      <c r="R38" s="8" t="s">
        <v>27</v>
      </c>
      <c r="S38" s="8">
        <v>2908</v>
      </c>
      <c r="T38" s="7">
        <f>ROUND((D38*E38*F38*K38*N38*L38*I38*J38/3600)+(G38*H38*I38*M38*O38*P38),4)</f>
        <v>1.1999999999999999E-3</v>
      </c>
      <c r="U38" s="7">
        <f>ROUND((((3.6*T38*Q38)/1000)),4)</f>
        <v>5.4000000000000003E-3</v>
      </c>
      <c r="V38" s="25"/>
      <c r="W38" s="25"/>
      <c r="X38" s="5">
        <v>25</v>
      </c>
      <c r="Y38" s="5">
        <f>51814*0.6</f>
        <v>31088.399999999998</v>
      </c>
      <c r="Z38" s="5"/>
      <c r="AA38" s="1"/>
    </row>
    <row r="39" spans="1:29" ht="24.95" customHeight="1" x14ac:dyDescent="0.25">
      <c r="A39" s="1271"/>
      <c r="B39" s="21" t="s">
        <v>26</v>
      </c>
      <c r="C39" s="1192" t="s">
        <v>29</v>
      </c>
      <c r="D39" s="7">
        <v>1.3</v>
      </c>
      <c r="E39" s="7">
        <v>3.5</v>
      </c>
      <c r="F39" s="7">
        <v>1</v>
      </c>
      <c r="G39" s="7">
        <v>1.3</v>
      </c>
      <c r="H39" s="7">
        <v>1.2</v>
      </c>
      <c r="I39" s="7">
        <v>0.01</v>
      </c>
      <c r="J39" s="7">
        <v>0.01</v>
      </c>
      <c r="K39" s="7">
        <v>3</v>
      </c>
      <c r="L39" s="7">
        <v>1450</v>
      </c>
      <c r="M39" s="7">
        <v>2E-3</v>
      </c>
      <c r="N39" s="7">
        <v>1.5</v>
      </c>
      <c r="O39" s="7">
        <v>14</v>
      </c>
      <c r="P39" s="7">
        <v>3</v>
      </c>
      <c r="Q39" s="7">
        <f>ROUND((Y39/X39),0)</f>
        <v>203</v>
      </c>
      <c r="R39" s="8" t="s">
        <v>27</v>
      </c>
      <c r="S39" s="8">
        <v>2908</v>
      </c>
      <c r="T39" s="7">
        <f>ROUND((D39*E39*F39*K39*N39*L39*I39*J39/3600)+(G39*H39*I39*M39*O39*P39),4)</f>
        <v>2.0999999999999999E-3</v>
      </c>
      <c r="U39" s="7">
        <f>ROUND((((3.6*T39*Q39)/1000)),4)</f>
        <v>1.5E-3</v>
      </c>
      <c r="V39" s="25"/>
      <c r="W39" s="25"/>
      <c r="X39" s="5">
        <v>45</v>
      </c>
      <c r="Y39" s="5">
        <f>22856.1*0.4</f>
        <v>9142.44</v>
      </c>
      <c r="Z39" s="5"/>
      <c r="AA39" s="1"/>
    </row>
    <row r="40" spans="1:29" ht="24.95" customHeight="1" x14ac:dyDescent="0.25">
      <c r="A40" s="1221"/>
      <c r="B40" s="21" t="s">
        <v>28</v>
      </c>
      <c r="C40" s="1272"/>
      <c r="D40" s="7">
        <v>1.9</v>
      </c>
      <c r="E40" s="7">
        <v>3.5</v>
      </c>
      <c r="F40" s="7">
        <v>1</v>
      </c>
      <c r="G40" s="7">
        <v>1.3</v>
      </c>
      <c r="H40" s="7">
        <v>1.2</v>
      </c>
      <c r="I40" s="7">
        <v>0.01</v>
      </c>
      <c r="J40" s="7">
        <v>0.01</v>
      </c>
      <c r="K40" s="7">
        <v>3</v>
      </c>
      <c r="L40" s="7">
        <v>1450</v>
      </c>
      <c r="M40" s="7">
        <v>2E-3</v>
      </c>
      <c r="N40" s="7">
        <v>1.5</v>
      </c>
      <c r="O40" s="7">
        <v>14</v>
      </c>
      <c r="P40" s="7">
        <v>1</v>
      </c>
      <c r="Q40" s="7">
        <f>ROUND((Y40/X40),0)</f>
        <v>305</v>
      </c>
      <c r="R40" s="8" t="s">
        <v>27</v>
      </c>
      <c r="S40" s="8">
        <v>2908</v>
      </c>
      <c r="T40" s="7">
        <f>ROUND((D40*E40*F40*K40*N40*L40*I40*J40/3600)+(G40*H40*I40*M40*O40*P40),4)</f>
        <v>1.6000000000000001E-3</v>
      </c>
      <c r="U40" s="7">
        <f>ROUND((((3.6*T40*Q40)/1000)),4)</f>
        <v>1.8E-3</v>
      </c>
      <c r="V40" s="25"/>
      <c r="W40" s="25"/>
      <c r="X40" s="5">
        <v>45</v>
      </c>
      <c r="Y40" s="5">
        <f>22856.1*0.6</f>
        <v>13713.659999999998</v>
      </c>
      <c r="Z40" s="5"/>
      <c r="AA40" s="1"/>
    </row>
    <row r="41" spans="1:29" s="147" customFormat="1" ht="25.5" x14ac:dyDescent="0.25">
      <c r="A41" s="1266" t="s">
        <v>358</v>
      </c>
      <c r="B41" s="1188"/>
      <c r="C41" s="1188"/>
      <c r="D41" s="1188"/>
      <c r="E41" s="1188"/>
      <c r="F41" s="1188"/>
      <c r="G41" s="1188"/>
      <c r="H41" s="1188"/>
      <c r="I41" s="1188"/>
      <c r="J41" s="1188"/>
      <c r="K41" s="1188"/>
      <c r="L41" s="1188"/>
      <c r="M41" s="1188"/>
      <c r="N41" s="1188"/>
      <c r="O41" s="1188"/>
      <c r="P41" s="1188"/>
      <c r="Q41" s="1189"/>
      <c r="R41" s="194" t="s">
        <v>27</v>
      </c>
      <c r="S41" s="194">
        <v>2908</v>
      </c>
      <c r="T41" s="571">
        <f>T37+T40+T38+T39</f>
        <v>6.8999999999999999E-3</v>
      </c>
      <c r="U41" s="571">
        <f>U37+U40+U38+U39</f>
        <v>1.47E-2</v>
      </c>
      <c r="V41" s="853"/>
      <c r="W41" s="853"/>
      <c r="X41" s="860"/>
      <c r="Y41" s="860"/>
      <c r="Z41" s="860"/>
    </row>
    <row r="42" spans="1:29" x14ac:dyDescent="0.25">
      <c r="A42" s="1171" t="s">
        <v>204</v>
      </c>
      <c r="B42" s="1216"/>
      <c r="C42" s="1216"/>
      <c r="D42" s="1216"/>
      <c r="E42" s="1216"/>
      <c r="F42" s="1216"/>
      <c r="G42" s="1216"/>
      <c r="H42" s="1216"/>
      <c r="I42" s="1216"/>
      <c r="J42" s="1216"/>
      <c r="K42" s="1216"/>
      <c r="L42" s="1216"/>
      <c r="M42" s="1216"/>
      <c r="N42" s="1216"/>
      <c r="O42" s="1216"/>
      <c r="P42" s="1216"/>
      <c r="Q42" s="1216"/>
      <c r="R42" s="1216"/>
      <c r="S42" s="1216"/>
      <c r="T42" s="1216"/>
      <c r="U42" s="1217"/>
      <c r="V42" s="875"/>
      <c r="W42" s="875"/>
      <c r="AB42" s="2"/>
    </row>
    <row r="43" spans="1:29" ht="24.95" customHeight="1" x14ac:dyDescent="0.25">
      <c r="A43" s="1271" t="s">
        <v>384</v>
      </c>
      <c r="B43" s="21" t="s">
        <v>26</v>
      </c>
      <c r="C43" s="1192" t="s">
        <v>207</v>
      </c>
      <c r="D43" s="7">
        <v>1.3</v>
      </c>
      <c r="E43" s="7">
        <v>3.5</v>
      </c>
      <c r="F43" s="7">
        <v>1</v>
      </c>
      <c r="G43" s="7">
        <v>1.3</v>
      </c>
      <c r="H43" s="7">
        <v>1.2</v>
      </c>
      <c r="I43" s="7">
        <v>0.01</v>
      </c>
      <c r="J43" s="7">
        <v>0.01</v>
      </c>
      <c r="K43" s="7">
        <v>2</v>
      </c>
      <c r="L43" s="7">
        <v>1450</v>
      </c>
      <c r="M43" s="7">
        <v>2E-3</v>
      </c>
      <c r="N43" s="7">
        <v>1.5</v>
      </c>
      <c r="O43" s="7">
        <v>14</v>
      </c>
      <c r="P43" s="7">
        <v>1</v>
      </c>
      <c r="Q43" s="7">
        <f>ROUND((Y43/X43),0)</f>
        <v>25</v>
      </c>
      <c r="R43" s="8" t="s">
        <v>27</v>
      </c>
      <c r="S43" s="8">
        <v>2908</v>
      </c>
      <c r="T43" s="7">
        <f>ROUND((D43*E43*F43*K43*N43*L43*I43*J43/3600)+(G43*H43*I43*M43*O43*P43),4)</f>
        <v>1E-3</v>
      </c>
      <c r="U43" s="7">
        <f>ROUND((((3.6*T43*Q43)/1000)),4)</f>
        <v>1E-4</v>
      </c>
      <c r="V43" s="102"/>
      <c r="W43" s="102"/>
      <c r="X43" s="3">
        <v>10</v>
      </c>
      <c r="Y43" s="3">
        <f>629.8*0.4</f>
        <v>251.92</v>
      </c>
      <c r="AB43" s="2"/>
    </row>
    <row r="44" spans="1:29" ht="24.95" customHeight="1" x14ac:dyDescent="0.25">
      <c r="A44" s="1221"/>
      <c r="B44" s="21" t="s">
        <v>28</v>
      </c>
      <c r="C44" s="1272"/>
      <c r="D44" s="7">
        <v>1.9</v>
      </c>
      <c r="E44" s="7">
        <v>3.5</v>
      </c>
      <c r="F44" s="7">
        <v>1</v>
      </c>
      <c r="G44" s="7">
        <v>1.3</v>
      </c>
      <c r="H44" s="7">
        <v>1.2</v>
      </c>
      <c r="I44" s="7">
        <v>0.01</v>
      </c>
      <c r="J44" s="7">
        <v>0.01</v>
      </c>
      <c r="K44" s="7">
        <v>1</v>
      </c>
      <c r="L44" s="7">
        <v>1450</v>
      </c>
      <c r="M44" s="7">
        <v>2E-3</v>
      </c>
      <c r="N44" s="7">
        <v>1.5</v>
      </c>
      <c r="O44" s="7">
        <v>14</v>
      </c>
      <c r="P44" s="7">
        <v>1</v>
      </c>
      <c r="Q44" s="7">
        <f>ROUND((Y44/X44),0)</f>
        <v>38</v>
      </c>
      <c r="R44" s="8" t="s">
        <v>27</v>
      </c>
      <c r="S44" s="8">
        <v>2908</v>
      </c>
      <c r="T44" s="7">
        <f>ROUND((D44*E44*F44*K44*N44*L44*I44*J44/3600)+(G44*H44*I44*M44*O44*P44),4)</f>
        <v>8.0000000000000004E-4</v>
      </c>
      <c r="U44" s="7">
        <f>ROUND((((3.6*T44*Q44)/1000)),4)</f>
        <v>1E-4</v>
      </c>
      <c r="V44" s="102"/>
      <c r="W44" s="102"/>
      <c r="X44" s="3">
        <v>10</v>
      </c>
      <c r="Y44" s="3">
        <f>629.8*0.6</f>
        <v>377.87999999999994</v>
      </c>
      <c r="AB44" s="2"/>
    </row>
    <row r="45" spans="1:29" s="147" customFormat="1" ht="25.5" x14ac:dyDescent="0.25">
      <c r="A45" s="1266" t="s">
        <v>369</v>
      </c>
      <c r="B45" s="1188"/>
      <c r="C45" s="1188"/>
      <c r="D45" s="1188"/>
      <c r="E45" s="1188"/>
      <c r="F45" s="1188"/>
      <c r="G45" s="1188"/>
      <c r="H45" s="1188"/>
      <c r="I45" s="1188"/>
      <c r="J45" s="1188"/>
      <c r="K45" s="1188"/>
      <c r="L45" s="1188"/>
      <c r="M45" s="1188"/>
      <c r="N45" s="1188"/>
      <c r="O45" s="1188"/>
      <c r="P45" s="1188"/>
      <c r="Q45" s="1189"/>
      <c r="R45" s="194" t="s">
        <v>27</v>
      </c>
      <c r="S45" s="194">
        <v>2908</v>
      </c>
      <c r="T45" s="571">
        <f>T43+T44</f>
        <v>1.8E-3</v>
      </c>
      <c r="U45" s="571">
        <f>U43+U44</f>
        <v>2.0000000000000001E-4</v>
      </c>
      <c r="V45" s="103"/>
      <c r="W45" s="103"/>
      <c r="X45" s="3"/>
      <c r="Y45" s="3"/>
      <c r="Z45" s="3"/>
      <c r="AA45"/>
    </row>
    <row r="46" spans="1:29" ht="21" customHeight="1" x14ac:dyDescent="0.25">
      <c r="A46" s="1171" t="s">
        <v>210</v>
      </c>
      <c r="B46" s="1216"/>
      <c r="C46" s="1216"/>
      <c r="D46" s="1216"/>
      <c r="E46" s="1216"/>
      <c r="F46" s="1216"/>
      <c r="G46" s="1216"/>
      <c r="H46" s="1216"/>
      <c r="I46" s="1216"/>
      <c r="J46" s="1216"/>
      <c r="K46" s="1216"/>
      <c r="L46" s="1216"/>
      <c r="M46" s="1216"/>
      <c r="N46" s="1216"/>
      <c r="O46" s="1216"/>
      <c r="P46" s="1216"/>
      <c r="Q46" s="1216"/>
      <c r="R46" s="1216"/>
      <c r="S46" s="1216"/>
      <c r="T46" s="1216"/>
      <c r="U46" s="1217"/>
      <c r="V46" s="875"/>
      <c r="W46" s="875"/>
      <c r="AB46" s="2"/>
    </row>
    <row r="47" spans="1:29" ht="24.95" customHeight="1" x14ac:dyDescent="0.25">
      <c r="A47" s="1271" t="s">
        <v>390</v>
      </c>
      <c r="B47" s="21" t="s">
        <v>26</v>
      </c>
      <c r="C47" s="1192" t="s">
        <v>207</v>
      </c>
      <c r="D47" s="7">
        <v>1.3</v>
      </c>
      <c r="E47" s="7">
        <v>3.5</v>
      </c>
      <c r="F47" s="7">
        <v>1</v>
      </c>
      <c r="G47" s="7">
        <v>1.3</v>
      </c>
      <c r="H47" s="7">
        <v>1.2</v>
      </c>
      <c r="I47" s="7">
        <v>0.01</v>
      </c>
      <c r="J47" s="7">
        <v>0.01</v>
      </c>
      <c r="K47" s="7">
        <v>2</v>
      </c>
      <c r="L47" s="7">
        <v>1450</v>
      </c>
      <c r="M47" s="7">
        <v>2E-3</v>
      </c>
      <c r="N47" s="7">
        <v>1.5</v>
      </c>
      <c r="O47" s="7">
        <v>14</v>
      </c>
      <c r="P47" s="7">
        <v>2</v>
      </c>
      <c r="Q47" s="7">
        <f>ROUND((Y47/X47),0)</f>
        <v>34</v>
      </c>
      <c r="R47" s="8" t="s">
        <v>27</v>
      </c>
      <c r="S47" s="8">
        <v>2908</v>
      </c>
      <c r="T47" s="7">
        <f>ROUND((D47*E47*F47*K47*N47*L47*I47*J47/3600)+(G47*H47*I47*M47*O47*P47),4)</f>
        <v>1.4E-3</v>
      </c>
      <c r="U47" s="7">
        <f>ROUND((((3.6*T47*Q47)/1000)),4)</f>
        <v>2.0000000000000001E-4</v>
      </c>
      <c r="V47" s="102"/>
      <c r="W47" s="102"/>
      <c r="X47" s="3">
        <v>10</v>
      </c>
      <c r="Y47" s="3">
        <f>856.2*0.4</f>
        <v>342.48</v>
      </c>
      <c r="AB47" s="2"/>
    </row>
    <row r="48" spans="1:29" ht="24.95" customHeight="1" x14ac:dyDescent="0.25">
      <c r="A48" s="1221"/>
      <c r="B48" s="21" t="s">
        <v>28</v>
      </c>
      <c r="C48" s="1272"/>
      <c r="D48" s="7">
        <v>1.9</v>
      </c>
      <c r="E48" s="7">
        <v>3.5</v>
      </c>
      <c r="F48" s="7">
        <v>1</v>
      </c>
      <c r="G48" s="7">
        <v>1.3</v>
      </c>
      <c r="H48" s="7">
        <v>1.2</v>
      </c>
      <c r="I48" s="7">
        <v>0.01</v>
      </c>
      <c r="J48" s="7">
        <v>0.01</v>
      </c>
      <c r="K48" s="7">
        <v>1</v>
      </c>
      <c r="L48" s="7">
        <v>1450</v>
      </c>
      <c r="M48" s="7">
        <v>2E-3</v>
      </c>
      <c r="N48" s="7">
        <v>1.5</v>
      </c>
      <c r="O48" s="7">
        <v>14</v>
      </c>
      <c r="P48" s="7">
        <v>1</v>
      </c>
      <c r="Q48" s="7">
        <f>ROUND((Y48/X48),0)</f>
        <v>51</v>
      </c>
      <c r="R48" s="8" t="s">
        <v>27</v>
      </c>
      <c r="S48" s="8">
        <v>2908</v>
      </c>
      <c r="T48" s="7">
        <f>ROUND((D48*E48*F48*K48*N48*L48*I48*J48/3600)+(G48*H48*I48*M48*O48*P48),4)</f>
        <v>8.0000000000000004E-4</v>
      </c>
      <c r="U48" s="7">
        <f>ROUND((((3.6*T48*Q48)/1000)),4)</f>
        <v>1E-4</v>
      </c>
      <c r="V48" s="102"/>
      <c r="W48" s="102"/>
      <c r="X48" s="3">
        <v>10</v>
      </c>
      <c r="Y48" s="3">
        <f>856.2*0.6</f>
        <v>513.72</v>
      </c>
      <c r="AB48" s="2"/>
    </row>
    <row r="49" spans="1:28" s="147" customFormat="1" ht="24.95" customHeight="1" x14ac:dyDescent="0.25">
      <c r="A49" s="1266" t="s">
        <v>371</v>
      </c>
      <c r="B49" s="1188"/>
      <c r="C49" s="1188"/>
      <c r="D49" s="1188"/>
      <c r="E49" s="1188"/>
      <c r="F49" s="1188"/>
      <c r="G49" s="1188"/>
      <c r="H49" s="1188"/>
      <c r="I49" s="1188"/>
      <c r="J49" s="1188"/>
      <c r="K49" s="1188"/>
      <c r="L49" s="1188"/>
      <c r="M49" s="1188"/>
      <c r="N49" s="1188"/>
      <c r="O49" s="1188"/>
      <c r="P49" s="1188"/>
      <c r="Q49" s="1189"/>
      <c r="R49" s="194" t="s">
        <v>27</v>
      </c>
      <c r="S49" s="194">
        <v>2908</v>
      </c>
      <c r="T49" s="571">
        <f>T47+T48</f>
        <v>2.2000000000000001E-3</v>
      </c>
      <c r="U49" s="571">
        <f>U47+U48</f>
        <v>3.0000000000000003E-4</v>
      </c>
      <c r="V49" s="103"/>
      <c r="W49" s="103"/>
      <c r="X49" s="3"/>
      <c r="Y49" s="3"/>
      <c r="Z49" s="3"/>
      <c r="AA49"/>
    </row>
    <row r="50" spans="1:28" ht="21" customHeight="1" x14ac:dyDescent="0.25">
      <c r="A50" s="1171" t="s">
        <v>213</v>
      </c>
      <c r="B50" s="1216"/>
      <c r="C50" s="1216"/>
      <c r="D50" s="1216"/>
      <c r="E50" s="1216"/>
      <c r="F50" s="1216"/>
      <c r="G50" s="1216"/>
      <c r="H50" s="1216"/>
      <c r="I50" s="1216"/>
      <c r="J50" s="1216"/>
      <c r="K50" s="1216"/>
      <c r="L50" s="1216"/>
      <c r="M50" s="1216"/>
      <c r="N50" s="1216"/>
      <c r="O50" s="1216"/>
      <c r="P50" s="1216"/>
      <c r="Q50" s="1216"/>
      <c r="R50" s="1216"/>
      <c r="S50" s="1216"/>
      <c r="T50" s="1216"/>
      <c r="U50" s="1217"/>
      <c r="V50" s="875"/>
      <c r="W50" s="875"/>
      <c r="AB50" s="2"/>
    </row>
    <row r="51" spans="1:28" ht="24.95" customHeight="1" x14ac:dyDescent="0.25">
      <c r="A51" s="1271" t="s">
        <v>396</v>
      </c>
      <c r="B51" s="21" t="s">
        <v>26</v>
      </c>
      <c r="C51" s="1192" t="s">
        <v>207</v>
      </c>
      <c r="D51" s="7">
        <v>1.3</v>
      </c>
      <c r="E51" s="7">
        <v>3.5</v>
      </c>
      <c r="F51" s="7">
        <v>1</v>
      </c>
      <c r="G51" s="7">
        <v>1.3</v>
      </c>
      <c r="H51" s="7">
        <v>1.2</v>
      </c>
      <c r="I51" s="7">
        <v>0.01</v>
      </c>
      <c r="J51" s="7">
        <v>0.01</v>
      </c>
      <c r="K51" s="7">
        <v>2</v>
      </c>
      <c r="L51" s="7">
        <v>1450</v>
      </c>
      <c r="M51" s="7">
        <v>2E-3</v>
      </c>
      <c r="N51" s="7">
        <v>1.5</v>
      </c>
      <c r="O51" s="7">
        <v>14</v>
      </c>
      <c r="P51" s="7">
        <v>2</v>
      </c>
      <c r="Q51" s="7">
        <f>ROUND((Y51/X51),0)</f>
        <v>114</v>
      </c>
      <c r="R51" s="8" t="s">
        <v>27</v>
      </c>
      <c r="S51" s="8">
        <v>2908</v>
      </c>
      <c r="T51" s="7">
        <f>ROUND((D51*E51*F51*K51*N51*L51*I51*J51/3600)+(G51*H51*I51*M51*O51*P51),4)</f>
        <v>1.4E-3</v>
      </c>
      <c r="U51" s="7">
        <f>ROUND((((3.6*T51*Q51)/1000)),4)</f>
        <v>5.9999999999999995E-4</v>
      </c>
      <c r="V51" s="102"/>
      <c r="W51" s="102"/>
      <c r="X51" s="3">
        <v>10</v>
      </c>
      <c r="Y51" s="3">
        <f>2846.9*0.4</f>
        <v>1138.76</v>
      </c>
      <c r="AB51" s="2"/>
    </row>
    <row r="52" spans="1:28" ht="24.95" customHeight="1" x14ac:dyDescent="0.25">
      <c r="A52" s="1221"/>
      <c r="B52" s="21" t="s">
        <v>28</v>
      </c>
      <c r="C52" s="1272"/>
      <c r="D52" s="7">
        <v>1.9</v>
      </c>
      <c r="E52" s="7">
        <v>3.5</v>
      </c>
      <c r="F52" s="7">
        <v>1</v>
      </c>
      <c r="G52" s="7">
        <v>1.3</v>
      </c>
      <c r="H52" s="7">
        <v>1.2</v>
      </c>
      <c r="I52" s="7">
        <v>0.01</v>
      </c>
      <c r="J52" s="7">
        <v>0.01</v>
      </c>
      <c r="K52" s="7">
        <v>1</v>
      </c>
      <c r="L52" s="7">
        <v>1450</v>
      </c>
      <c r="M52" s="7">
        <v>2E-3</v>
      </c>
      <c r="N52" s="7">
        <v>1.5</v>
      </c>
      <c r="O52" s="7">
        <v>14</v>
      </c>
      <c r="P52" s="7">
        <v>1</v>
      </c>
      <c r="Q52" s="7">
        <f>ROUND((Y52/X52),0)</f>
        <v>171</v>
      </c>
      <c r="R52" s="8" t="s">
        <v>27</v>
      </c>
      <c r="S52" s="8">
        <v>2908</v>
      </c>
      <c r="T52" s="7">
        <f>ROUND((D52*E52*F52*K52*N52*L52*I52*J52/3600)+(G52*H52*I52*M52*O52*P52),4)</f>
        <v>8.0000000000000004E-4</v>
      </c>
      <c r="U52" s="7">
        <f>ROUND((((3.6*T52*Q52)/1000)),4)</f>
        <v>5.0000000000000001E-4</v>
      </c>
      <c r="V52" s="102"/>
      <c r="W52" s="102"/>
      <c r="X52" s="3">
        <v>10</v>
      </c>
      <c r="Y52" s="3">
        <f>2846.9*0.6</f>
        <v>1708.14</v>
      </c>
      <c r="AB52" s="2"/>
    </row>
    <row r="53" spans="1:28" s="147" customFormat="1" ht="31.5" customHeight="1" x14ac:dyDescent="0.25">
      <c r="A53" s="1266" t="s">
        <v>397</v>
      </c>
      <c r="B53" s="1188"/>
      <c r="C53" s="1188"/>
      <c r="D53" s="1188"/>
      <c r="E53" s="1188"/>
      <c r="F53" s="1188"/>
      <c r="G53" s="1188"/>
      <c r="H53" s="1188"/>
      <c r="I53" s="1188"/>
      <c r="J53" s="1188"/>
      <c r="K53" s="1188"/>
      <c r="L53" s="1188"/>
      <c r="M53" s="1188"/>
      <c r="N53" s="1188"/>
      <c r="O53" s="1188"/>
      <c r="P53" s="1188"/>
      <c r="Q53" s="1189"/>
      <c r="R53" s="194" t="s">
        <v>27</v>
      </c>
      <c r="S53" s="194">
        <v>2908</v>
      </c>
      <c r="T53" s="571">
        <f>T51+T52</f>
        <v>2.2000000000000001E-3</v>
      </c>
      <c r="U53" s="571">
        <f>U51+U52</f>
        <v>1.0999999999999998E-3</v>
      </c>
      <c r="V53" s="103"/>
      <c r="W53" s="103"/>
      <c r="X53" s="3"/>
      <c r="Y53" s="3"/>
      <c r="Z53" s="3"/>
      <c r="AA53"/>
    </row>
    <row r="54" spans="1:28" ht="21.75" customHeight="1" x14ac:dyDescent="0.25">
      <c r="A54" s="1171" t="s">
        <v>215</v>
      </c>
      <c r="B54" s="1216"/>
      <c r="C54" s="1216"/>
      <c r="D54" s="1216"/>
      <c r="E54" s="1216"/>
      <c r="F54" s="1216"/>
      <c r="G54" s="1216"/>
      <c r="H54" s="1216"/>
      <c r="I54" s="1216"/>
      <c r="J54" s="1216"/>
      <c r="K54" s="1216"/>
      <c r="L54" s="1216"/>
      <c r="M54" s="1216"/>
      <c r="N54" s="1216"/>
      <c r="O54" s="1216"/>
      <c r="P54" s="1216"/>
      <c r="Q54" s="1216"/>
      <c r="R54" s="1216"/>
      <c r="S54" s="1216"/>
      <c r="T54" s="1216"/>
      <c r="U54" s="1217"/>
      <c r="V54" s="875"/>
      <c r="W54" s="875"/>
      <c r="AB54" s="2"/>
    </row>
    <row r="55" spans="1:28" ht="24.95" customHeight="1" x14ac:dyDescent="0.25">
      <c r="A55" s="1271" t="s">
        <v>402</v>
      </c>
      <c r="B55" s="21" t="s">
        <v>26</v>
      </c>
      <c r="C55" s="1192" t="s">
        <v>207</v>
      </c>
      <c r="D55" s="7">
        <v>1.3</v>
      </c>
      <c r="E55" s="7">
        <v>3.5</v>
      </c>
      <c r="F55" s="7">
        <v>1</v>
      </c>
      <c r="G55" s="7">
        <v>1.3</v>
      </c>
      <c r="H55" s="7">
        <v>1.2</v>
      </c>
      <c r="I55" s="7">
        <v>0.01</v>
      </c>
      <c r="J55" s="7">
        <v>0.01</v>
      </c>
      <c r="K55" s="7">
        <v>4</v>
      </c>
      <c r="L55" s="7">
        <v>1450</v>
      </c>
      <c r="M55" s="7">
        <v>2E-3</v>
      </c>
      <c r="N55" s="7">
        <v>1.5</v>
      </c>
      <c r="O55" s="7">
        <v>14</v>
      </c>
      <c r="P55" s="7">
        <v>4</v>
      </c>
      <c r="Q55" s="7">
        <f>ROUND((Y55/X55),0)</f>
        <v>499</v>
      </c>
      <c r="R55" s="8" t="s">
        <v>27</v>
      </c>
      <c r="S55" s="8">
        <v>2908</v>
      </c>
      <c r="T55" s="7">
        <f>ROUND((D55*E55*F55*K55*N55*L55*I55*J55/3600)+(G55*H55*I55*M55*O55*P55),4)</f>
        <v>2.8E-3</v>
      </c>
      <c r="U55" s="7">
        <f>ROUND((((3.6*T55*Q55)/1000)),4)</f>
        <v>5.0000000000000001E-3</v>
      </c>
      <c r="V55" s="102"/>
      <c r="W55" s="102"/>
      <c r="X55" s="3">
        <v>20</v>
      </c>
      <c r="Y55" s="3">
        <f>24933.8*0.4</f>
        <v>9973.52</v>
      </c>
      <c r="AB55" s="2"/>
    </row>
    <row r="56" spans="1:28" ht="24.95" customHeight="1" x14ac:dyDescent="0.25">
      <c r="A56" s="1221"/>
      <c r="B56" s="21" t="s">
        <v>28</v>
      </c>
      <c r="C56" s="1272"/>
      <c r="D56" s="7">
        <v>1.9</v>
      </c>
      <c r="E56" s="7">
        <v>3.5</v>
      </c>
      <c r="F56" s="7">
        <v>1</v>
      </c>
      <c r="G56" s="7">
        <v>1.3</v>
      </c>
      <c r="H56" s="7">
        <v>1.2</v>
      </c>
      <c r="I56" s="7">
        <v>0.01</v>
      </c>
      <c r="J56" s="7">
        <v>0.01</v>
      </c>
      <c r="K56" s="7">
        <v>3</v>
      </c>
      <c r="L56" s="7">
        <v>1450</v>
      </c>
      <c r="M56" s="7">
        <v>2E-3</v>
      </c>
      <c r="N56" s="7">
        <v>1.5</v>
      </c>
      <c r="O56" s="7">
        <v>14</v>
      </c>
      <c r="P56" s="7">
        <v>3</v>
      </c>
      <c r="Q56" s="7">
        <f>ROUND((Y56/X56),0)</f>
        <v>748</v>
      </c>
      <c r="R56" s="8" t="s">
        <v>27</v>
      </c>
      <c r="S56" s="8">
        <v>2908</v>
      </c>
      <c r="T56" s="7">
        <f>ROUND((D56*E56*F56*K56*N56*L56*I56*J56/3600)+(G56*H56*I56*M56*O56*P56),4)</f>
        <v>2.5000000000000001E-3</v>
      </c>
      <c r="U56" s="7">
        <f>ROUND((((3.6*T56*Q56)/1000)),4)</f>
        <v>6.7000000000000002E-3</v>
      </c>
      <c r="V56" s="102"/>
      <c r="W56" s="102"/>
      <c r="X56" s="3">
        <v>20</v>
      </c>
      <c r="Y56" s="3">
        <f>24933.8*0.6</f>
        <v>14960.279999999999</v>
      </c>
      <c r="AA56" s="22"/>
      <c r="AB56" s="2"/>
    </row>
    <row r="57" spans="1:28" s="147" customFormat="1" ht="24.95" customHeight="1" x14ac:dyDescent="0.25">
      <c r="A57" s="1266" t="s">
        <v>373</v>
      </c>
      <c r="B57" s="1188"/>
      <c r="C57" s="1188"/>
      <c r="D57" s="1188"/>
      <c r="E57" s="1188"/>
      <c r="F57" s="1188"/>
      <c r="G57" s="1188"/>
      <c r="H57" s="1188"/>
      <c r="I57" s="1188"/>
      <c r="J57" s="1188"/>
      <c r="K57" s="1188"/>
      <c r="L57" s="1188"/>
      <c r="M57" s="1188"/>
      <c r="N57" s="1188"/>
      <c r="O57" s="1188"/>
      <c r="P57" s="1188"/>
      <c r="Q57" s="1189"/>
      <c r="R57" s="194" t="s">
        <v>27</v>
      </c>
      <c r="S57" s="194">
        <v>2908</v>
      </c>
      <c r="T57" s="571">
        <f>T55+T56</f>
        <v>5.3E-3</v>
      </c>
      <c r="U57" s="571">
        <f>U55+U56</f>
        <v>1.17E-2</v>
      </c>
      <c r="V57" s="103"/>
      <c r="W57" s="103"/>
      <c r="X57" s="3"/>
      <c r="Y57" s="3"/>
      <c r="Z57" s="3"/>
      <c r="AA57"/>
    </row>
    <row r="58" spans="1:28" x14ac:dyDescent="0.25">
      <c r="A58" s="1171" t="s">
        <v>244</v>
      </c>
      <c r="B58" s="1216"/>
      <c r="C58" s="1216"/>
      <c r="D58" s="1216"/>
      <c r="E58" s="1216"/>
      <c r="F58" s="1216"/>
      <c r="G58" s="1216"/>
      <c r="H58" s="1216"/>
      <c r="I58" s="1216"/>
      <c r="J58" s="1216"/>
      <c r="K58" s="1216"/>
      <c r="L58" s="1216"/>
      <c r="M58" s="1216"/>
      <c r="N58" s="1216"/>
      <c r="O58" s="1216"/>
      <c r="P58" s="1216"/>
      <c r="Q58" s="1216"/>
      <c r="R58" s="1216"/>
      <c r="S58" s="1216"/>
      <c r="T58" s="1216"/>
      <c r="U58" s="1217"/>
      <c r="V58" s="874"/>
      <c r="W58" s="874"/>
      <c r="X58" s="4"/>
      <c r="Y58" s="4"/>
      <c r="Z58" s="4"/>
      <c r="AA58" s="2"/>
      <c r="AB58" s="2"/>
    </row>
    <row r="59" spans="1:28" ht="24.95" customHeight="1" x14ac:dyDescent="0.25">
      <c r="A59" s="1193" t="s">
        <v>428</v>
      </c>
      <c r="B59" s="21" t="s">
        <v>26</v>
      </c>
      <c r="C59" s="1192" t="s">
        <v>10</v>
      </c>
      <c r="D59" s="7">
        <v>1.3</v>
      </c>
      <c r="E59" s="7">
        <v>3.5</v>
      </c>
      <c r="F59" s="7">
        <v>1</v>
      </c>
      <c r="G59" s="7">
        <v>1.3</v>
      </c>
      <c r="H59" s="7">
        <v>1.2</v>
      </c>
      <c r="I59" s="7">
        <v>0.01</v>
      </c>
      <c r="J59" s="7">
        <v>0.01</v>
      </c>
      <c r="K59" s="7">
        <v>3</v>
      </c>
      <c r="L59" s="7">
        <v>1450</v>
      </c>
      <c r="M59" s="7">
        <v>2E-3</v>
      </c>
      <c r="N59" s="7">
        <v>1.5</v>
      </c>
      <c r="O59" s="7">
        <v>14</v>
      </c>
      <c r="P59" s="7">
        <v>1</v>
      </c>
      <c r="Q59" s="7">
        <f>ROUND((Y59/X59),0)</f>
        <v>78</v>
      </c>
      <c r="R59" s="8" t="s">
        <v>27</v>
      </c>
      <c r="S59" s="8">
        <v>2908</v>
      </c>
      <c r="T59" s="7">
        <f>ROUND((D59*E59*F59*K59*N59*L59*I59*J59/3600)+(G59*H59*I59*M59*O59*P59),4)</f>
        <v>1.2999999999999999E-3</v>
      </c>
      <c r="U59" s="7">
        <f>ROUND((((3.6*T59*Q59)/1000)),4)</f>
        <v>4.0000000000000002E-4</v>
      </c>
      <c r="V59" s="25"/>
      <c r="W59" s="25"/>
      <c r="X59" s="5">
        <v>20</v>
      </c>
      <c r="Y59" s="5">
        <f>3911*0.4</f>
        <v>1564.4</v>
      </c>
      <c r="Z59" s="5"/>
      <c r="AA59" s="1"/>
      <c r="AB59" s="2"/>
    </row>
    <row r="60" spans="1:28" ht="24.95" customHeight="1" x14ac:dyDescent="0.25">
      <c r="A60" s="1271"/>
      <c r="B60" s="21" t="s">
        <v>28</v>
      </c>
      <c r="C60" s="1191"/>
      <c r="D60" s="7">
        <v>1.9</v>
      </c>
      <c r="E60" s="7">
        <v>3.5</v>
      </c>
      <c r="F60" s="7">
        <v>1</v>
      </c>
      <c r="G60" s="7">
        <v>1.3</v>
      </c>
      <c r="H60" s="7">
        <v>1.2</v>
      </c>
      <c r="I60" s="7">
        <v>0.01</v>
      </c>
      <c r="J60" s="7">
        <v>0.01</v>
      </c>
      <c r="K60" s="7">
        <v>2</v>
      </c>
      <c r="L60" s="7">
        <v>1450</v>
      </c>
      <c r="M60" s="7">
        <v>2E-3</v>
      </c>
      <c r="N60" s="7">
        <v>1.5</v>
      </c>
      <c r="O60" s="7">
        <v>14</v>
      </c>
      <c r="P60" s="7">
        <v>1</v>
      </c>
      <c r="Q60" s="7">
        <f>ROUND((Y60/X60),0)</f>
        <v>117</v>
      </c>
      <c r="R60" s="8" t="s">
        <v>27</v>
      </c>
      <c r="S60" s="8">
        <v>2908</v>
      </c>
      <c r="T60" s="7">
        <f>ROUND((D60*E60*F60*K60*N60*L60*I60*J60/3600)+(G60*H60*I60*M60*O60*P60),4)</f>
        <v>1.1999999999999999E-3</v>
      </c>
      <c r="U60" s="7">
        <f>ROUND((((3.6*T60*Q60)/1000)),4)</f>
        <v>5.0000000000000001E-4</v>
      </c>
      <c r="V60" s="25"/>
      <c r="W60" s="25"/>
      <c r="X60" s="5">
        <v>20</v>
      </c>
      <c r="Y60" s="5">
        <f>3911*0.6</f>
        <v>2346.6</v>
      </c>
      <c r="Z60" s="5"/>
      <c r="AA60" s="1"/>
      <c r="AB60" s="2"/>
    </row>
    <row r="61" spans="1:28" ht="24.95" customHeight="1" x14ac:dyDescent="0.25">
      <c r="A61" s="1271"/>
      <c r="B61" s="21" t="s">
        <v>26</v>
      </c>
      <c r="C61" s="1192" t="s">
        <v>359</v>
      </c>
      <c r="D61" s="7">
        <v>1.3</v>
      </c>
      <c r="E61" s="7">
        <v>3.5</v>
      </c>
      <c r="F61" s="7">
        <v>1</v>
      </c>
      <c r="G61" s="7">
        <v>1.3</v>
      </c>
      <c r="H61" s="7">
        <v>1.2</v>
      </c>
      <c r="I61" s="7">
        <v>0.01</v>
      </c>
      <c r="J61" s="7">
        <v>0.01</v>
      </c>
      <c r="K61" s="7">
        <v>3</v>
      </c>
      <c r="L61" s="7">
        <v>1450</v>
      </c>
      <c r="M61" s="7">
        <v>2E-3</v>
      </c>
      <c r="N61" s="7">
        <v>1.5</v>
      </c>
      <c r="O61" s="7">
        <v>14</v>
      </c>
      <c r="P61" s="7">
        <v>1</v>
      </c>
      <c r="Q61" s="7">
        <f>ROUND((Y61/X61),0)</f>
        <v>88</v>
      </c>
      <c r="R61" s="8" t="s">
        <v>27</v>
      </c>
      <c r="S61" s="8">
        <v>2908</v>
      </c>
      <c r="T61" s="7">
        <f>ROUND((D61*E61*F61*K61*N61*L61*I61*J61/3600)+(G61*H61*I61*M61*O61*P61),4)</f>
        <v>1.2999999999999999E-3</v>
      </c>
      <c r="U61" s="7">
        <f>ROUND((((3.6*T61*Q61)/1000)),4)</f>
        <v>4.0000000000000002E-4</v>
      </c>
      <c r="V61" s="25"/>
      <c r="W61" s="25"/>
      <c r="X61" s="5">
        <v>20</v>
      </c>
      <c r="Y61" s="5">
        <f>4398*0.4</f>
        <v>1759.2</v>
      </c>
      <c r="Z61" s="5"/>
      <c r="AA61" s="1"/>
      <c r="AB61" s="2"/>
    </row>
    <row r="62" spans="1:28" ht="24.95" customHeight="1" x14ac:dyDescent="0.25">
      <c r="A62" s="1221"/>
      <c r="B62" s="21" t="s">
        <v>28</v>
      </c>
      <c r="C62" s="1191"/>
      <c r="D62" s="7">
        <v>1.9</v>
      </c>
      <c r="E62" s="7">
        <v>3.5</v>
      </c>
      <c r="F62" s="7">
        <v>1</v>
      </c>
      <c r="G62" s="7">
        <v>1.3</v>
      </c>
      <c r="H62" s="7">
        <v>1.2</v>
      </c>
      <c r="I62" s="7">
        <v>0.01</v>
      </c>
      <c r="J62" s="7">
        <v>0.01</v>
      </c>
      <c r="K62" s="7">
        <v>2</v>
      </c>
      <c r="L62" s="7">
        <v>1450</v>
      </c>
      <c r="M62" s="7">
        <v>2E-3</v>
      </c>
      <c r="N62" s="7">
        <v>1.5</v>
      </c>
      <c r="O62" s="7">
        <v>14</v>
      </c>
      <c r="P62" s="7">
        <v>1</v>
      </c>
      <c r="Q62" s="7">
        <f>ROUND((Y62/X62),0)</f>
        <v>132</v>
      </c>
      <c r="R62" s="8" t="s">
        <v>27</v>
      </c>
      <c r="S62" s="8">
        <v>2908</v>
      </c>
      <c r="T62" s="7">
        <f>ROUND((D62*E62*F62*K62*N62*L62*I62*J62/3600)+(G62*H62*I62*M62*O62*P62),4)</f>
        <v>1.1999999999999999E-3</v>
      </c>
      <c r="U62" s="7">
        <f>ROUND((((3.6*T62*Q62)/1000)),4)</f>
        <v>5.9999999999999995E-4</v>
      </c>
      <c r="V62" s="25"/>
      <c r="W62" s="25"/>
      <c r="X62" s="5">
        <v>20</v>
      </c>
      <c r="Y62" s="5">
        <f>4398*0.6</f>
        <v>2638.7999999999997</v>
      </c>
      <c r="Z62" s="5"/>
      <c r="AA62" s="1"/>
      <c r="AB62" s="2"/>
    </row>
    <row r="63" spans="1:28" s="147" customFormat="1" ht="24.95" customHeight="1" x14ac:dyDescent="0.25">
      <c r="A63" s="1266" t="s">
        <v>429</v>
      </c>
      <c r="B63" s="1188"/>
      <c r="C63" s="1188"/>
      <c r="D63" s="1188"/>
      <c r="E63" s="1188"/>
      <c r="F63" s="1188"/>
      <c r="G63" s="1188"/>
      <c r="H63" s="1188"/>
      <c r="I63" s="1188"/>
      <c r="J63" s="1188"/>
      <c r="K63" s="1188"/>
      <c r="L63" s="1188"/>
      <c r="M63" s="1188"/>
      <c r="N63" s="1188"/>
      <c r="O63" s="1188"/>
      <c r="P63" s="1188"/>
      <c r="Q63" s="1189"/>
      <c r="R63" s="194" t="s">
        <v>27</v>
      </c>
      <c r="S63" s="194">
        <v>2908</v>
      </c>
      <c r="T63" s="571">
        <f>T59+T61+MAX(T60,T62)</f>
        <v>3.7999999999999996E-3</v>
      </c>
      <c r="U63" s="571">
        <f>U59+U62+U60+U61</f>
        <v>1.9E-3</v>
      </c>
      <c r="V63" s="853"/>
      <c r="W63" s="853"/>
      <c r="X63" s="860"/>
      <c r="Y63" s="860"/>
      <c r="Z63" s="860"/>
    </row>
    <row r="64" spans="1:28" x14ac:dyDescent="0.25">
      <c r="A64" s="1171" t="s">
        <v>264</v>
      </c>
      <c r="B64" s="1216"/>
      <c r="C64" s="1216"/>
      <c r="D64" s="1216"/>
      <c r="E64" s="1216"/>
      <c r="F64" s="1216"/>
      <c r="G64" s="1216"/>
      <c r="H64" s="1216"/>
      <c r="I64" s="1216"/>
      <c r="J64" s="1216"/>
      <c r="K64" s="1216"/>
      <c r="L64" s="1216"/>
      <c r="M64" s="1216"/>
      <c r="N64" s="1216"/>
      <c r="O64" s="1216"/>
      <c r="P64" s="1216"/>
      <c r="Q64" s="1216"/>
      <c r="R64" s="1216"/>
      <c r="S64" s="1216"/>
      <c r="T64" s="1216"/>
      <c r="U64" s="1217"/>
      <c r="V64" s="874"/>
      <c r="W64" s="874"/>
      <c r="X64" s="4"/>
      <c r="Y64" s="4"/>
      <c r="Z64" s="4"/>
      <c r="AA64" s="2"/>
      <c r="AB64" s="2"/>
    </row>
    <row r="65" spans="1:28" ht="24.95" customHeight="1" x14ac:dyDescent="0.25">
      <c r="A65" s="1193" t="s">
        <v>473</v>
      </c>
      <c r="B65" s="21" t="s">
        <v>26</v>
      </c>
      <c r="C65" s="1192" t="s">
        <v>10</v>
      </c>
      <c r="D65" s="7">
        <v>1.3</v>
      </c>
      <c r="E65" s="7">
        <v>3.5</v>
      </c>
      <c r="F65" s="7">
        <v>1</v>
      </c>
      <c r="G65" s="7">
        <v>1.3</v>
      </c>
      <c r="H65" s="7">
        <v>1.2</v>
      </c>
      <c r="I65" s="7">
        <v>0.01</v>
      </c>
      <c r="J65" s="7">
        <v>0.01</v>
      </c>
      <c r="K65" s="7">
        <v>3</v>
      </c>
      <c r="L65" s="7">
        <v>1450</v>
      </c>
      <c r="M65" s="7">
        <v>2E-3</v>
      </c>
      <c r="N65" s="7">
        <v>1.5</v>
      </c>
      <c r="O65" s="7">
        <v>14</v>
      </c>
      <c r="P65" s="7">
        <v>2</v>
      </c>
      <c r="Q65" s="7">
        <f>ROUND((Y65/X65),0)</f>
        <v>53</v>
      </c>
      <c r="R65" s="8" t="s">
        <v>27</v>
      </c>
      <c r="S65" s="8">
        <v>2908</v>
      </c>
      <c r="T65" s="7">
        <f>ROUND((D65*E65*F65*K65*N65*L65*I65*J65/3600)+(G65*H65*I65*M65*O65*P65),4)</f>
        <v>1.6999999999999999E-3</v>
      </c>
      <c r="U65" s="7">
        <f>ROUND((((3.6*T65*Q65)/1000)),4)</f>
        <v>2.9999999999999997E-4</v>
      </c>
      <c r="V65" s="25"/>
      <c r="W65" s="25"/>
      <c r="X65" s="5">
        <v>20</v>
      </c>
      <c r="Y65" s="5">
        <f>2625*0.4</f>
        <v>1050</v>
      </c>
      <c r="Z65" s="5"/>
      <c r="AA65" s="1"/>
      <c r="AB65" s="2"/>
    </row>
    <row r="66" spans="1:28" ht="24.95" customHeight="1" x14ac:dyDescent="0.25">
      <c r="A66" s="1271"/>
      <c r="B66" s="21" t="s">
        <v>28</v>
      </c>
      <c r="C66" s="1191"/>
      <c r="D66" s="7">
        <v>1.9</v>
      </c>
      <c r="E66" s="7">
        <v>3.5</v>
      </c>
      <c r="F66" s="7">
        <v>1</v>
      </c>
      <c r="G66" s="7">
        <v>1.3</v>
      </c>
      <c r="H66" s="7">
        <v>1.2</v>
      </c>
      <c r="I66" s="7">
        <v>0.01</v>
      </c>
      <c r="J66" s="7">
        <v>0.01</v>
      </c>
      <c r="K66" s="7">
        <v>2</v>
      </c>
      <c r="L66" s="7">
        <v>1450</v>
      </c>
      <c r="M66" s="7">
        <v>2E-3</v>
      </c>
      <c r="N66" s="7">
        <v>1.5</v>
      </c>
      <c r="O66" s="7">
        <v>14</v>
      </c>
      <c r="P66" s="7">
        <v>2</v>
      </c>
      <c r="Q66" s="7">
        <f>ROUND((Y66/X66),0)</f>
        <v>79</v>
      </c>
      <c r="R66" s="8" t="s">
        <v>27</v>
      </c>
      <c r="S66" s="8">
        <v>2908</v>
      </c>
      <c r="T66" s="7">
        <f>ROUND((D66*E66*F66*K66*N66*L66*I66*J66/3600)+(G66*H66*I66*M66*O66*P66),4)</f>
        <v>1.6999999999999999E-3</v>
      </c>
      <c r="U66" s="7">
        <f>ROUND((((3.6*T66*Q66)/1000)),4)</f>
        <v>5.0000000000000001E-4</v>
      </c>
      <c r="V66" s="25"/>
      <c r="W66" s="25"/>
      <c r="X66" s="5">
        <v>20</v>
      </c>
      <c r="Y66" s="5">
        <f>2625*0.6</f>
        <v>1575</v>
      </c>
      <c r="Z66" s="5"/>
      <c r="AA66" s="1"/>
      <c r="AB66" s="2"/>
    </row>
    <row r="67" spans="1:28" ht="24.95" customHeight="1" x14ac:dyDescent="0.25">
      <c r="A67" s="1220"/>
      <c r="B67" s="21" t="s">
        <v>26</v>
      </c>
      <c r="C67" s="1192" t="s">
        <v>359</v>
      </c>
      <c r="D67" s="7">
        <v>1.3</v>
      </c>
      <c r="E67" s="7">
        <v>3.5</v>
      </c>
      <c r="F67" s="7">
        <v>1</v>
      </c>
      <c r="G67" s="7">
        <v>1.3</v>
      </c>
      <c r="H67" s="7">
        <v>1.2</v>
      </c>
      <c r="I67" s="7">
        <v>0.01</v>
      </c>
      <c r="J67" s="7">
        <v>0.01</v>
      </c>
      <c r="K67" s="7">
        <v>3</v>
      </c>
      <c r="L67" s="7">
        <v>1450</v>
      </c>
      <c r="M67" s="7">
        <v>2E-3</v>
      </c>
      <c r="N67" s="7">
        <v>1.5</v>
      </c>
      <c r="O67" s="7">
        <v>14</v>
      </c>
      <c r="P67" s="7">
        <v>1</v>
      </c>
      <c r="Q67" s="7">
        <f>ROUND((Y67/X67),0)</f>
        <v>56</v>
      </c>
      <c r="R67" s="8" t="s">
        <v>27</v>
      </c>
      <c r="S67" s="8">
        <v>2908</v>
      </c>
      <c r="T67" s="7">
        <f>ROUND((D67*E67*F67*K67*N67*L67*I67*J67/3600)+(G67*H67*I67*M67*O67*P67),4)</f>
        <v>1.2999999999999999E-3</v>
      </c>
      <c r="U67" s="7">
        <f>ROUND((((3.6*T67*Q67)/1000)),4)</f>
        <v>2.9999999999999997E-4</v>
      </c>
      <c r="V67" s="25"/>
      <c r="W67" s="25"/>
      <c r="X67" s="5">
        <v>20</v>
      </c>
      <c r="Y67" s="5">
        <f>2812.3*0.4</f>
        <v>1124.92</v>
      </c>
      <c r="Z67" s="5"/>
      <c r="AA67" s="1"/>
      <c r="AB67" s="2"/>
    </row>
    <row r="68" spans="1:28" ht="24.95" customHeight="1" x14ac:dyDescent="0.25">
      <c r="A68" s="1220"/>
      <c r="B68" s="21" t="s">
        <v>28</v>
      </c>
      <c r="C68" s="1191"/>
      <c r="D68" s="7">
        <v>1.9</v>
      </c>
      <c r="E68" s="7">
        <v>3.5</v>
      </c>
      <c r="F68" s="7">
        <v>1</v>
      </c>
      <c r="G68" s="7">
        <v>1.3</v>
      </c>
      <c r="H68" s="7">
        <v>1.2</v>
      </c>
      <c r="I68" s="7">
        <v>0.01</v>
      </c>
      <c r="J68" s="7">
        <v>0.01</v>
      </c>
      <c r="K68" s="7">
        <v>2</v>
      </c>
      <c r="L68" s="7">
        <v>1450</v>
      </c>
      <c r="M68" s="7">
        <v>2E-3</v>
      </c>
      <c r="N68" s="7">
        <v>1.5</v>
      </c>
      <c r="O68" s="7">
        <v>14</v>
      </c>
      <c r="P68" s="7">
        <v>1</v>
      </c>
      <c r="Q68" s="7">
        <f>ROUND((Y68/X68),0)</f>
        <v>84</v>
      </c>
      <c r="R68" s="8" t="s">
        <v>27</v>
      </c>
      <c r="S68" s="8">
        <v>2908</v>
      </c>
      <c r="T68" s="7">
        <f>ROUND((D68*E68*F68*K68*N68*L68*I68*J68/3600)+(G68*H68*I68*M68*O68*P68),4)</f>
        <v>1.1999999999999999E-3</v>
      </c>
      <c r="U68" s="7">
        <f>ROUND((((3.6*T68*Q68)/1000)),4)</f>
        <v>4.0000000000000002E-4</v>
      </c>
      <c r="V68" s="25"/>
      <c r="W68" s="25"/>
      <c r="X68" s="5">
        <v>20</v>
      </c>
      <c r="Y68" s="5">
        <f>2812.3*0.6</f>
        <v>1687.38</v>
      </c>
      <c r="Z68" s="5"/>
      <c r="AA68" s="1"/>
      <c r="AB68" s="2"/>
    </row>
    <row r="69" spans="1:28" s="147" customFormat="1" ht="24.95" customHeight="1" x14ac:dyDescent="0.25">
      <c r="A69" s="1266" t="s">
        <v>474</v>
      </c>
      <c r="B69" s="1188"/>
      <c r="C69" s="1188"/>
      <c r="D69" s="1188"/>
      <c r="E69" s="1188"/>
      <c r="F69" s="1188"/>
      <c r="G69" s="1188"/>
      <c r="H69" s="1188"/>
      <c r="I69" s="1188"/>
      <c r="J69" s="1188"/>
      <c r="K69" s="1188"/>
      <c r="L69" s="1188"/>
      <c r="M69" s="1188"/>
      <c r="N69" s="1188"/>
      <c r="O69" s="1188"/>
      <c r="P69" s="1188"/>
      <c r="Q69" s="1189"/>
      <c r="R69" s="194" t="s">
        <v>27</v>
      </c>
      <c r="S69" s="194">
        <v>2908</v>
      </c>
      <c r="T69" s="571">
        <f>MAX(T65,T67)+MAX(T66,T68)</f>
        <v>3.3999999999999998E-3</v>
      </c>
      <c r="U69" s="571">
        <f>U65+U66+U67+U68</f>
        <v>1.4999999999999998E-3</v>
      </c>
      <c r="V69" s="853"/>
      <c r="W69" s="853"/>
      <c r="X69" s="860"/>
      <c r="Y69" s="860"/>
      <c r="Z69" s="860"/>
    </row>
    <row r="70" spans="1:28" x14ac:dyDescent="0.25">
      <c r="A70" s="1171" t="s">
        <v>276</v>
      </c>
      <c r="B70" s="1216"/>
      <c r="C70" s="1216"/>
      <c r="D70" s="1216"/>
      <c r="E70" s="1216"/>
      <c r="F70" s="1216"/>
      <c r="G70" s="1216"/>
      <c r="H70" s="1216"/>
      <c r="I70" s="1216"/>
      <c r="J70" s="1216"/>
      <c r="K70" s="1216"/>
      <c r="L70" s="1216"/>
      <c r="M70" s="1216"/>
      <c r="N70" s="1216"/>
      <c r="O70" s="1216"/>
      <c r="P70" s="1216"/>
      <c r="Q70" s="1216"/>
      <c r="R70" s="1216"/>
      <c r="S70" s="1216"/>
      <c r="T70" s="1216"/>
      <c r="U70" s="1217"/>
      <c r="V70" s="874"/>
      <c r="W70" s="874"/>
      <c r="X70" s="4"/>
      <c r="Y70" s="4"/>
      <c r="Z70" s="4"/>
      <c r="AA70" s="2"/>
      <c r="AB70" s="2"/>
    </row>
    <row r="71" spans="1:28" ht="24.95" customHeight="1" x14ac:dyDescent="0.25">
      <c r="A71" s="1193" t="s">
        <v>482</v>
      </c>
      <c r="B71" s="21" t="s">
        <v>26</v>
      </c>
      <c r="C71" s="1192" t="s">
        <v>10</v>
      </c>
      <c r="D71" s="7">
        <v>1.3</v>
      </c>
      <c r="E71" s="7">
        <v>3.5</v>
      </c>
      <c r="F71" s="7">
        <v>1</v>
      </c>
      <c r="G71" s="7">
        <v>1.3</v>
      </c>
      <c r="H71" s="7">
        <v>1.2</v>
      </c>
      <c r="I71" s="7">
        <v>0.01</v>
      </c>
      <c r="J71" s="7">
        <v>0.01</v>
      </c>
      <c r="K71" s="7">
        <v>3</v>
      </c>
      <c r="L71" s="7">
        <v>1450</v>
      </c>
      <c r="M71" s="7">
        <v>2E-3</v>
      </c>
      <c r="N71" s="7">
        <v>1.5</v>
      </c>
      <c r="O71" s="7">
        <v>14</v>
      </c>
      <c r="P71" s="7">
        <v>1</v>
      </c>
      <c r="Q71" s="7">
        <f t="shared" ref="Q71:Q76" si="0">ROUND((Y71/X71),0)</f>
        <v>76</v>
      </c>
      <c r="R71" s="8" t="s">
        <v>27</v>
      </c>
      <c r="S71" s="8">
        <v>2908</v>
      </c>
      <c r="T71" s="7">
        <f t="shared" ref="T71:T78" si="1">ROUND((D71*E71*F71*K71*N71*L71*I71*J71/3600)+(G71*H71*I71*M71*O71*P71),4)</f>
        <v>1.2999999999999999E-3</v>
      </c>
      <c r="U71" s="7">
        <f>ROUND((((3.6*T71*Q71)/1000)),4)</f>
        <v>4.0000000000000002E-4</v>
      </c>
      <c r="V71" s="102"/>
      <c r="W71" s="25"/>
      <c r="X71" s="5">
        <v>20</v>
      </c>
      <c r="Y71" s="5">
        <f>3797*0.4</f>
        <v>1518.8000000000002</v>
      </c>
      <c r="Z71" s="5"/>
      <c r="AA71" s="1"/>
      <c r="AB71" s="2"/>
    </row>
    <row r="72" spans="1:28" ht="24.95" customHeight="1" x14ac:dyDescent="0.25">
      <c r="A72" s="1271"/>
      <c r="B72" s="21" t="s">
        <v>28</v>
      </c>
      <c r="C72" s="1191"/>
      <c r="D72" s="7">
        <v>1.9</v>
      </c>
      <c r="E72" s="7">
        <v>3.5</v>
      </c>
      <c r="F72" s="7">
        <v>1</v>
      </c>
      <c r="G72" s="7">
        <v>1.3</v>
      </c>
      <c r="H72" s="7">
        <v>1.2</v>
      </c>
      <c r="I72" s="7">
        <v>0.01</v>
      </c>
      <c r="J72" s="7">
        <v>0.01</v>
      </c>
      <c r="K72" s="7">
        <v>2</v>
      </c>
      <c r="L72" s="7">
        <v>1450</v>
      </c>
      <c r="M72" s="7">
        <v>2E-3</v>
      </c>
      <c r="N72" s="7">
        <v>1.5</v>
      </c>
      <c r="O72" s="7">
        <v>14</v>
      </c>
      <c r="P72" s="7">
        <v>1</v>
      </c>
      <c r="Q72" s="7">
        <f t="shared" si="0"/>
        <v>114</v>
      </c>
      <c r="R72" s="8" t="s">
        <v>27</v>
      </c>
      <c r="S72" s="8">
        <v>2908</v>
      </c>
      <c r="T72" s="7">
        <f t="shared" si="1"/>
        <v>1.1999999999999999E-3</v>
      </c>
      <c r="U72" s="7">
        <f>ROUND((((3.6*T72*Q72)/1000)),4)</f>
        <v>5.0000000000000001E-4</v>
      </c>
      <c r="V72" s="102"/>
      <c r="W72" s="25"/>
      <c r="X72" s="5">
        <v>20</v>
      </c>
      <c r="Y72" s="5">
        <f>3797*0.6</f>
        <v>2278.1999999999998</v>
      </c>
      <c r="Z72" s="5"/>
      <c r="AA72" s="1"/>
      <c r="AB72" s="2"/>
    </row>
    <row r="73" spans="1:28" ht="24.95" customHeight="1" x14ac:dyDescent="0.25">
      <c r="A73" s="1271"/>
      <c r="B73" s="21" t="s">
        <v>26</v>
      </c>
      <c r="C73" s="1192" t="s">
        <v>359</v>
      </c>
      <c r="D73" s="7">
        <v>1.3</v>
      </c>
      <c r="E73" s="7">
        <v>3.5</v>
      </c>
      <c r="F73" s="7">
        <v>1</v>
      </c>
      <c r="G73" s="7">
        <v>1.3</v>
      </c>
      <c r="H73" s="7">
        <v>1.2</v>
      </c>
      <c r="I73" s="7">
        <v>0.01</v>
      </c>
      <c r="J73" s="7">
        <v>0.01</v>
      </c>
      <c r="K73" s="7">
        <v>2</v>
      </c>
      <c r="L73" s="7">
        <v>1450</v>
      </c>
      <c r="M73" s="7">
        <v>2E-3</v>
      </c>
      <c r="N73" s="7">
        <v>1.5</v>
      </c>
      <c r="O73" s="7">
        <v>14</v>
      </c>
      <c r="P73" s="7">
        <v>1</v>
      </c>
      <c r="Q73" s="7">
        <f t="shared" si="0"/>
        <v>9</v>
      </c>
      <c r="R73" s="8" t="s">
        <v>27</v>
      </c>
      <c r="S73" s="8">
        <v>2908</v>
      </c>
      <c r="T73" s="7">
        <f t="shared" si="1"/>
        <v>1E-3</v>
      </c>
      <c r="U73" s="7">
        <f>ROUND((((3.6*T73*Q73)/1000)),5)</f>
        <v>3.0000000000000001E-5</v>
      </c>
      <c r="V73" s="25"/>
      <c r="W73" s="25"/>
      <c r="X73" s="5">
        <v>10</v>
      </c>
      <c r="Y73" s="5">
        <f>215*0.4</f>
        <v>86</v>
      </c>
      <c r="Z73" s="5"/>
      <c r="AA73" s="1"/>
      <c r="AB73" s="2"/>
    </row>
    <row r="74" spans="1:28" ht="24.95" customHeight="1" x14ac:dyDescent="0.25">
      <c r="A74" s="1271"/>
      <c r="B74" s="21" t="s">
        <v>28</v>
      </c>
      <c r="C74" s="1191"/>
      <c r="D74" s="7">
        <v>1.9</v>
      </c>
      <c r="E74" s="7">
        <v>3.5</v>
      </c>
      <c r="F74" s="7">
        <v>1</v>
      </c>
      <c r="G74" s="7">
        <v>1.3</v>
      </c>
      <c r="H74" s="7">
        <v>1.2</v>
      </c>
      <c r="I74" s="7">
        <v>0.01</v>
      </c>
      <c r="J74" s="7">
        <v>0.01</v>
      </c>
      <c r="K74" s="7">
        <v>1</v>
      </c>
      <c r="L74" s="7">
        <v>1450</v>
      </c>
      <c r="M74" s="7">
        <v>2E-3</v>
      </c>
      <c r="N74" s="7">
        <v>1.5</v>
      </c>
      <c r="O74" s="7">
        <v>14</v>
      </c>
      <c r="P74" s="7">
        <v>1</v>
      </c>
      <c r="Q74" s="7">
        <f t="shared" si="0"/>
        <v>13</v>
      </c>
      <c r="R74" s="8" t="s">
        <v>27</v>
      </c>
      <c r="S74" s="8">
        <v>2908</v>
      </c>
      <c r="T74" s="7">
        <f t="shared" si="1"/>
        <v>8.0000000000000004E-4</v>
      </c>
      <c r="U74" s="7">
        <f>ROUND((((3.6*T74*Q74)/1000)),5)</f>
        <v>4.0000000000000003E-5</v>
      </c>
      <c r="V74" s="25"/>
      <c r="W74" s="25"/>
      <c r="X74" s="5">
        <v>10</v>
      </c>
      <c r="Y74" s="5">
        <f>215*0.6</f>
        <v>129</v>
      </c>
      <c r="Z74" s="5"/>
      <c r="AA74" s="1"/>
      <c r="AB74" s="2"/>
    </row>
    <row r="75" spans="1:28" ht="24.95" customHeight="1" x14ac:dyDescent="0.25">
      <c r="A75" s="1271"/>
      <c r="B75" s="21" t="s">
        <v>26</v>
      </c>
      <c r="C75" s="1192" t="s">
        <v>484</v>
      </c>
      <c r="D75" s="7">
        <v>1.3</v>
      </c>
      <c r="E75" s="7">
        <v>3.5</v>
      </c>
      <c r="F75" s="7">
        <v>1</v>
      </c>
      <c r="G75" s="7">
        <v>1.3</v>
      </c>
      <c r="H75" s="7">
        <v>1.2</v>
      </c>
      <c r="I75" s="7">
        <v>0.01</v>
      </c>
      <c r="J75" s="7">
        <v>0.01</v>
      </c>
      <c r="K75" s="7">
        <v>2</v>
      </c>
      <c r="L75" s="7">
        <v>1450</v>
      </c>
      <c r="M75" s="7">
        <v>2E-3</v>
      </c>
      <c r="N75" s="7">
        <v>1.5</v>
      </c>
      <c r="O75" s="7">
        <v>14</v>
      </c>
      <c r="P75" s="7">
        <v>1</v>
      </c>
      <c r="Q75" s="7">
        <f t="shared" si="0"/>
        <v>96</v>
      </c>
      <c r="R75" s="8" t="s">
        <v>27</v>
      </c>
      <c r="S75" s="8">
        <v>2908</v>
      </c>
      <c r="T75" s="7">
        <f t="shared" si="1"/>
        <v>1E-3</v>
      </c>
      <c r="U75" s="7">
        <f>ROUND((((3.6*T75*Q75)/1000)),4)</f>
        <v>2.9999999999999997E-4</v>
      </c>
      <c r="V75" s="102"/>
      <c r="W75" s="102"/>
      <c r="X75" s="3">
        <v>10</v>
      </c>
      <c r="Y75" s="3">
        <f>2400*0.4</f>
        <v>960</v>
      </c>
      <c r="AB75" s="2"/>
    </row>
    <row r="76" spans="1:28" ht="24.95" customHeight="1" x14ac:dyDescent="0.25">
      <c r="A76" s="1271"/>
      <c r="B76" s="21" t="s">
        <v>28</v>
      </c>
      <c r="C76" s="1191"/>
      <c r="D76" s="7">
        <v>1.9</v>
      </c>
      <c r="E76" s="7">
        <v>3.5</v>
      </c>
      <c r="F76" s="7">
        <v>1</v>
      </c>
      <c r="G76" s="7">
        <v>1.3</v>
      </c>
      <c r="H76" s="7">
        <v>1.2</v>
      </c>
      <c r="I76" s="7">
        <v>0.01</v>
      </c>
      <c r="J76" s="7">
        <v>0.01</v>
      </c>
      <c r="K76" s="7">
        <v>1</v>
      </c>
      <c r="L76" s="7">
        <v>1450</v>
      </c>
      <c r="M76" s="7">
        <v>2E-3</v>
      </c>
      <c r="N76" s="7">
        <v>1.5</v>
      </c>
      <c r="O76" s="7">
        <v>14</v>
      </c>
      <c r="P76" s="7">
        <v>1</v>
      </c>
      <c r="Q76" s="7">
        <f t="shared" si="0"/>
        <v>144</v>
      </c>
      <c r="R76" s="8" t="s">
        <v>27</v>
      </c>
      <c r="S76" s="8">
        <v>2908</v>
      </c>
      <c r="T76" s="7">
        <f t="shared" si="1"/>
        <v>8.0000000000000004E-4</v>
      </c>
      <c r="U76" s="7">
        <f>ROUND((((3.6*T76*Q76)/1000)),4)</f>
        <v>4.0000000000000002E-4</v>
      </c>
      <c r="V76" s="102"/>
      <c r="W76" s="102"/>
      <c r="X76" s="3">
        <v>10</v>
      </c>
      <c r="Y76" s="3">
        <f>2400*0.6</f>
        <v>1440</v>
      </c>
      <c r="AB76" s="2"/>
    </row>
    <row r="77" spans="1:28" ht="24.95" customHeight="1" x14ac:dyDescent="0.25">
      <c r="A77" s="1220"/>
      <c r="B77" s="21" t="s">
        <v>26</v>
      </c>
      <c r="C77" s="1192" t="s">
        <v>1083</v>
      </c>
      <c r="D77" s="7">
        <v>1.3</v>
      </c>
      <c r="E77" s="7">
        <v>3.5</v>
      </c>
      <c r="F77" s="7">
        <v>1</v>
      </c>
      <c r="G77" s="7">
        <v>1.3</v>
      </c>
      <c r="H77" s="7">
        <v>1.2</v>
      </c>
      <c r="I77" s="7">
        <v>0.01</v>
      </c>
      <c r="J77" s="7">
        <v>0.01</v>
      </c>
      <c r="K77" s="7">
        <v>20</v>
      </c>
      <c r="L77" s="7">
        <v>1450</v>
      </c>
      <c r="M77" s="7">
        <v>4.0000000000000001E-3</v>
      </c>
      <c r="N77" s="7">
        <v>1.5</v>
      </c>
      <c r="O77" s="7">
        <v>14</v>
      </c>
      <c r="P77" s="7">
        <v>2</v>
      </c>
      <c r="Q77" s="7">
        <f>ROUND((W77/V77),0)</f>
        <v>203</v>
      </c>
      <c r="R77" s="8" t="s">
        <v>27</v>
      </c>
      <c r="S77" s="8">
        <v>2908</v>
      </c>
      <c r="T77" s="7">
        <f t="shared" si="1"/>
        <v>7.1999999999999998E-3</v>
      </c>
      <c r="U77" s="7">
        <f t="shared" ref="U77:U78" si="2">ROUND((((3.6*T77*Q77)/1000)),4)</f>
        <v>5.3E-3</v>
      </c>
      <c r="V77" s="3">
        <v>10</v>
      </c>
      <c r="W77" s="3">
        <f>(5070)*0.4</f>
        <v>2028</v>
      </c>
      <c r="AB77" s="2"/>
    </row>
    <row r="78" spans="1:28" ht="24.95" customHeight="1" x14ac:dyDescent="0.25">
      <c r="A78" s="1221"/>
      <c r="B78" s="21" t="s">
        <v>28</v>
      </c>
      <c r="C78" s="1191"/>
      <c r="D78" s="7">
        <v>1.9</v>
      </c>
      <c r="E78" s="7">
        <v>3.5</v>
      </c>
      <c r="F78" s="7">
        <v>1</v>
      </c>
      <c r="G78" s="7">
        <v>1.3</v>
      </c>
      <c r="H78" s="7">
        <v>1.2</v>
      </c>
      <c r="I78" s="7">
        <v>0.01</v>
      </c>
      <c r="J78" s="7">
        <v>0.01</v>
      </c>
      <c r="K78" s="7">
        <v>14</v>
      </c>
      <c r="L78" s="7">
        <v>1450</v>
      </c>
      <c r="M78" s="7">
        <v>4.0000000000000001E-3</v>
      </c>
      <c r="N78" s="7">
        <v>1.5</v>
      </c>
      <c r="O78" s="7">
        <v>14</v>
      </c>
      <c r="P78" s="7">
        <v>1</v>
      </c>
      <c r="Q78" s="7">
        <f t="shared" ref="Q78" si="3">ROUND((W78/V78),0)</f>
        <v>304</v>
      </c>
      <c r="R78" s="8" t="s">
        <v>27</v>
      </c>
      <c r="S78" s="8">
        <v>2908</v>
      </c>
      <c r="T78" s="7">
        <f t="shared" si="1"/>
        <v>6.4999999999999997E-3</v>
      </c>
      <c r="U78" s="7">
        <f t="shared" si="2"/>
        <v>7.1000000000000004E-3</v>
      </c>
      <c r="V78" s="3">
        <v>10</v>
      </c>
      <c r="W78" s="3">
        <f>(5070)*0.6</f>
        <v>3042</v>
      </c>
      <c r="Y78" s="3">
        <f>W77+W78</f>
        <v>5070</v>
      </c>
      <c r="AB78" s="2"/>
    </row>
    <row r="79" spans="1:28" s="147" customFormat="1" ht="24.95" customHeight="1" x14ac:dyDescent="0.25">
      <c r="A79" s="1266" t="s">
        <v>483</v>
      </c>
      <c r="B79" s="1188"/>
      <c r="C79" s="1188"/>
      <c r="D79" s="1188"/>
      <c r="E79" s="1188"/>
      <c r="F79" s="1188"/>
      <c r="G79" s="1188"/>
      <c r="H79" s="1188"/>
      <c r="I79" s="1188"/>
      <c r="J79" s="1188"/>
      <c r="K79" s="1188"/>
      <c r="L79" s="1188"/>
      <c r="M79" s="1188"/>
      <c r="N79" s="1188"/>
      <c r="O79" s="1188"/>
      <c r="P79" s="1188"/>
      <c r="Q79" s="1189"/>
      <c r="R79" s="194" t="s">
        <v>27</v>
      </c>
      <c r="S79" s="194">
        <v>2908</v>
      </c>
      <c r="T79" s="571">
        <f>MAX(T71,T73,T75,T77)+MAX(T72,T74,T76,T78)</f>
        <v>1.37E-2</v>
      </c>
      <c r="U79" s="571">
        <f>U71+U72+U73+U74+U75+U76+U77+U78</f>
        <v>1.4069999999999999E-2</v>
      </c>
      <c r="V79" s="853"/>
      <c r="W79" s="853"/>
      <c r="X79" s="860"/>
      <c r="Y79" s="860"/>
      <c r="Z79" s="860"/>
    </row>
    <row r="80" spans="1:28" x14ac:dyDescent="0.25">
      <c r="A80" s="1171" t="s">
        <v>284</v>
      </c>
      <c r="B80" s="1216"/>
      <c r="C80" s="1216"/>
      <c r="D80" s="1216"/>
      <c r="E80" s="1216"/>
      <c r="F80" s="1216"/>
      <c r="G80" s="1216"/>
      <c r="H80" s="1216"/>
      <c r="I80" s="1216"/>
      <c r="J80" s="1216"/>
      <c r="K80" s="1216"/>
      <c r="L80" s="1216"/>
      <c r="M80" s="1216"/>
      <c r="N80" s="1216"/>
      <c r="O80" s="1216"/>
      <c r="P80" s="1216"/>
      <c r="Q80" s="1216"/>
      <c r="R80" s="1216"/>
      <c r="S80" s="1216"/>
      <c r="T80" s="1216"/>
      <c r="U80" s="1217"/>
      <c r="V80" s="874"/>
      <c r="W80" s="874"/>
      <c r="X80" s="4"/>
      <c r="Y80" s="4"/>
      <c r="Z80" s="4"/>
      <c r="AA80" s="2"/>
      <c r="AB80" s="2"/>
    </row>
    <row r="81" spans="1:28" ht="24.95" customHeight="1" x14ac:dyDescent="0.25">
      <c r="A81" s="1193" t="s">
        <v>493</v>
      </c>
      <c r="B81" s="21" t="s">
        <v>26</v>
      </c>
      <c r="C81" s="1192" t="s">
        <v>10</v>
      </c>
      <c r="D81" s="7">
        <v>1.3</v>
      </c>
      <c r="E81" s="7">
        <v>3.5</v>
      </c>
      <c r="F81" s="7">
        <v>1</v>
      </c>
      <c r="G81" s="7">
        <v>1.3</v>
      </c>
      <c r="H81" s="7">
        <v>1.2</v>
      </c>
      <c r="I81" s="7">
        <v>0.01</v>
      </c>
      <c r="J81" s="7">
        <v>0.01</v>
      </c>
      <c r="K81" s="7">
        <v>2</v>
      </c>
      <c r="L81" s="7">
        <v>1450</v>
      </c>
      <c r="M81" s="7">
        <v>2E-3</v>
      </c>
      <c r="N81" s="7">
        <v>1.5</v>
      </c>
      <c r="O81" s="7">
        <v>14</v>
      </c>
      <c r="P81" s="7">
        <v>1</v>
      </c>
      <c r="Q81" s="7">
        <f>ROUND((Y81/X81),0)</f>
        <v>23</v>
      </c>
      <c r="R81" s="8" t="s">
        <v>27</v>
      </c>
      <c r="S81" s="8">
        <v>2908</v>
      </c>
      <c r="T81" s="7">
        <f>ROUND((D81*E81*F81*K81*N81*L81*I81*J81/3600)+(G81*H81*I81*M81*O81*P81),4)</f>
        <v>1E-3</v>
      </c>
      <c r="U81" s="7">
        <f>ROUND((((3.6*T81*Q81)/1000)),4)</f>
        <v>1E-4</v>
      </c>
      <c r="V81" s="25"/>
      <c r="W81" s="25"/>
      <c r="X81" s="5">
        <v>10</v>
      </c>
      <c r="Y81" s="5">
        <f>582.8*0.4</f>
        <v>233.12</v>
      </c>
      <c r="Z81" s="5"/>
      <c r="AA81" s="1"/>
      <c r="AB81" s="2"/>
    </row>
    <row r="82" spans="1:28" ht="24.95" customHeight="1" x14ac:dyDescent="0.25">
      <c r="A82" s="1220"/>
      <c r="B82" s="21" t="s">
        <v>28</v>
      </c>
      <c r="C82" s="1191"/>
      <c r="D82" s="7">
        <v>1.9</v>
      </c>
      <c r="E82" s="7">
        <v>3.5</v>
      </c>
      <c r="F82" s="7">
        <v>1</v>
      </c>
      <c r="G82" s="7">
        <v>1.3</v>
      </c>
      <c r="H82" s="7">
        <v>1.2</v>
      </c>
      <c r="I82" s="7">
        <v>0.01</v>
      </c>
      <c r="J82" s="7">
        <v>0.01</v>
      </c>
      <c r="K82" s="7">
        <v>1</v>
      </c>
      <c r="L82" s="7">
        <v>1450</v>
      </c>
      <c r="M82" s="7">
        <v>2E-3</v>
      </c>
      <c r="N82" s="7">
        <v>1.5</v>
      </c>
      <c r="O82" s="7">
        <v>14</v>
      </c>
      <c r="P82" s="7">
        <v>1</v>
      </c>
      <c r="Q82" s="7">
        <f>ROUND((Y82/X82),0)</f>
        <v>35</v>
      </c>
      <c r="R82" s="8" t="s">
        <v>27</v>
      </c>
      <c r="S82" s="8">
        <v>2908</v>
      </c>
      <c r="T82" s="7">
        <f>ROUND((D82*E82*F82*K82*N82*L82*I82*J82/3600)+(G82*H82*I82*M82*O82*P82),4)</f>
        <v>8.0000000000000004E-4</v>
      </c>
      <c r="U82" s="7">
        <f>ROUND((((3.6*T82*Q82)/1000)),4)</f>
        <v>1E-4</v>
      </c>
      <c r="V82" s="25"/>
      <c r="W82" s="25"/>
      <c r="X82" s="5">
        <v>10</v>
      </c>
      <c r="Y82" s="5">
        <f>582.8*0.6</f>
        <v>349.67999999999995</v>
      </c>
      <c r="Z82" s="5"/>
      <c r="AA82" s="1"/>
      <c r="AB82" s="2"/>
    </row>
    <row r="83" spans="1:28" ht="24.95" customHeight="1" x14ac:dyDescent="0.25">
      <c r="A83" s="1220"/>
      <c r="B83" s="21" t="s">
        <v>26</v>
      </c>
      <c r="C83" s="1192" t="s">
        <v>359</v>
      </c>
      <c r="D83" s="7">
        <v>1.3</v>
      </c>
      <c r="E83" s="7">
        <v>3.5</v>
      </c>
      <c r="F83" s="7">
        <v>1</v>
      </c>
      <c r="G83" s="7">
        <v>1.3</v>
      </c>
      <c r="H83" s="7">
        <v>1.2</v>
      </c>
      <c r="I83" s="7">
        <v>0.01</v>
      </c>
      <c r="J83" s="7">
        <v>0.01</v>
      </c>
      <c r="K83" s="7">
        <v>2</v>
      </c>
      <c r="L83" s="7">
        <v>1450</v>
      </c>
      <c r="M83" s="7">
        <v>2E-3</v>
      </c>
      <c r="N83" s="7">
        <v>1.5</v>
      </c>
      <c r="O83" s="7">
        <v>14</v>
      </c>
      <c r="P83" s="7">
        <v>2</v>
      </c>
      <c r="Q83" s="7">
        <f>ROUND((Y83/X83),0)</f>
        <v>62</v>
      </c>
      <c r="R83" s="8" t="s">
        <v>27</v>
      </c>
      <c r="S83" s="8">
        <v>2908</v>
      </c>
      <c r="T83" s="7">
        <f>ROUND((D83*E83*F83*K83*N83*L83*I83*J83/3600)+(G83*H83*I83*M83*O83*P83),4)</f>
        <v>1.4E-3</v>
      </c>
      <c r="U83" s="7">
        <f>ROUND((((3.6*T83*Q83)/1000)),4)</f>
        <v>2.9999999999999997E-4</v>
      </c>
      <c r="V83" s="102"/>
      <c r="W83" s="102"/>
      <c r="X83" s="3">
        <v>10</v>
      </c>
      <c r="Y83" s="3">
        <f>1540.3*0.4</f>
        <v>616.12</v>
      </c>
      <c r="AB83" s="2"/>
    </row>
    <row r="84" spans="1:28" ht="24.95" customHeight="1" x14ac:dyDescent="0.25">
      <c r="A84" s="1220"/>
      <c r="B84" s="21" t="s">
        <v>28</v>
      </c>
      <c r="C84" s="1191"/>
      <c r="D84" s="7">
        <v>1.9</v>
      </c>
      <c r="E84" s="7">
        <v>3.5</v>
      </c>
      <c r="F84" s="7">
        <v>1</v>
      </c>
      <c r="G84" s="7">
        <v>1.3</v>
      </c>
      <c r="H84" s="7">
        <v>1.2</v>
      </c>
      <c r="I84" s="7">
        <v>0.01</v>
      </c>
      <c r="J84" s="7">
        <v>0.01</v>
      </c>
      <c r="K84" s="7">
        <v>1</v>
      </c>
      <c r="L84" s="7">
        <v>1450</v>
      </c>
      <c r="M84" s="7">
        <v>2E-3</v>
      </c>
      <c r="N84" s="7">
        <v>1.5</v>
      </c>
      <c r="O84" s="7">
        <v>14</v>
      </c>
      <c r="P84" s="7">
        <v>1</v>
      </c>
      <c r="Q84" s="7">
        <f>ROUND((Y84/X84),0)</f>
        <v>92</v>
      </c>
      <c r="R84" s="8" t="s">
        <v>27</v>
      </c>
      <c r="S84" s="8">
        <v>2908</v>
      </c>
      <c r="T84" s="7">
        <f>ROUND((D84*E84*F84*K84*N84*L84*I84*J84/3600)+(G84*H84*I84*M84*O84*P84),4)</f>
        <v>8.0000000000000004E-4</v>
      </c>
      <c r="U84" s="7">
        <f>ROUND((((3.6*T84*Q84)/1000)),4)</f>
        <v>2.9999999999999997E-4</v>
      </c>
      <c r="V84" s="102"/>
      <c r="W84" s="102"/>
      <c r="X84" s="3">
        <v>10</v>
      </c>
      <c r="Y84" s="3">
        <f>1540.3*0.6</f>
        <v>924.18</v>
      </c>
      <c r="AB84" s="2"/>
    </row>
    <row r="85" spans="1:28" ht="24.95" customHeight="1" x14ac:dyDescent="0.25">
      <c r="A85" s="1220"/>
      <c r="B85" s="21" t="s">
        <v>26</v>
      </c>
      <c r="C85" s="182" t="s">
        <v>29</v>
      </c>
      <c r="D85" s="7">
        <v>1.3</v>
      </c>
      <c r="E85" s="7">
        <v>3.5</v>
      </c>
      <c r="F85" s="7">
        <v>1</v>
      </c>
      <c r="G85" s="7">
        <v>1.3</v>
      </c>
      <c r="H85" s="7">
        <v>1.2</v>
      </c>
      <c r="I85" s="7">
        <v>0.01</v>
      </c>
      <c r="J85" s="7">
        <v>0.01</v>
      </c>
      <c r="K85" s="7">
        <v>2</v>
      </c>
      <c r="L85" s="7">
        <v>1450</v>
      </c>
      <c r="M85" s="7">
        <v>2E-3</v>
      </c>
      <c r="N85" s="7">
        <v>1.5</v>
      </c>
      <c r="O85" s="7">
        <v>14</v>
      </c>
      <c r="P85" s="7">
        <v>1</v>
      </c>
      <c r="Q85" s="7">
        <f>ROUND((Y85/X85),0)</f>
        <v>65</v>
      </c>
      <c r="R85" s="8" t="s">
        <v>27</v>
      </c>
      <c r="S85" s="8">
        <v>2908</v>
      </c>
      <c r="T85" s="7">
        <f>ROUND((D85*E85*F85*K85*N85*L85*I85*J85/3600)+(G85*H85*I85*M85*O85*P85),4)</f>
        <v>1E-3</v>
      </c>
      <c r="U85" s="7">
        <f>ROUND((((3.6*T85*Q85)/1000)),5)</f>
        <v>2.3000000000000001E-4</v>
      </c>
      <c r="V85" s="25"/>
      <c r="W85" s="25"/>
      <c r="X85" s="5">
        <v>10</v>
      </c>
      <c r="Y85" s="5">
        <f>654.5*1</f>
        <v>654.5</v>
      </c>
      <c r="Z85" s="5"/>
      <c r="AA85" s="1"/>
      <c r="AB85" s="2"/>
    </row>
    <row r="86" spans="1:28" s="147" customFormat="1" ht="24.95" customHeight="1" x14ac:dyDescent="0.25">
      <c r="A86" s="1266" t="s">
        <v>494</v>
      </c>
      <c r="B86" s="1188"/>
      <c r="C86" s="1188"/>
      <c r="D86" s="1188"/>
      <c r="E86" s="1188"/>
      <c r="F86" s="1188"/>
      <c r="G86" s="1188"/>
      <c r="H86" s="1188"/>
      <c r="I86" s="1188"/>
      <c r="J86" s="1188"/>
      <c r="K86" s="1188"/>
      <c r="L86" s="1188"/>
      <c r="M86" s="1188"/>
      <c r="N86" s="1188"/>
      <c r="O86" s="1188"/>
      <c r="P86" s="1188"/>
      <c r="Q86" s="1189"/>
      <c r="R86" s="194" t="s">
        <v>27</v>
      </c>
      <c r="S86" s="194">
        <v>2908</v>
      </c>
      <c r="T86" s="571">
        <f>MAX(T81,T83,T85)+T82+T84</f>
        <v>3.0000000000000001E-3</v>
      </c>
      <c r="U86" s="571">
        <f>U81+U82+U83+U84+U85</f>
        <v>1.0299999999999999E-3</v>
      </c>
      <c r="V86" s="853"/>
      <c r="W86" s="853"/>
      <c r="X86" s="860"/>
      <c r="Y86" s="860"/>
      <c r="Z86" s="860"/>
    </row>
    <row r="87" spans="1:28" s="147" customFormat="1" ht="15" customHeight="1" x14ac:dyDescent="0.25">
      <c r="A87" s="1171" t="s">
        <v>1063</v>
      </c>
      <c r="B87" s="1216"/>
      <c r="C87" s="1216"/>
      <c r="D87" s="1216"/>
      <c r="E87" s="1216"/>
      <c r="F87" s="1216"/>
      <c r="G87" s="1216"/>
      <c r="H87" s="1216"/>
      <c r="I87" s="1216"/>
      <c r="J87" s="1216"/>
      <c r="K87" s="1216"/>
      <c r="L87" s="1216"/>
      <c r="M87" s="1216"/>
      <c r="N87" s="1216"/>
      <c r="O87" s="1216"/>
      <c r="P87" s="1216"/>
      <c r="Q87" s="1216"/>
      <c r="R87" s="1216"/>
      <c r="S87" s="1216"/>
      <c r="T87" s="1216"/>
      <c r="U87" s="1217"/>
      <c r="V87" s="876"/>
      <c r="W87" s="876"/>
      <c r="X87" s="4"/>
      <c r="Y87" s="4"/>
      <c r="Z87" s="4"/>
      <c r="AA87" s="2"/>
    </row>
    <row r="88" spans="1:28" s="147" customFormat="1" ht="24.95" customHeight="1" x14ac:dyDescent="0.25">
      <c r="A88" s="1198" t="s">
        <v>1185</v>
      </c>
      <c r="B88" s="21" t="s">
        <v>26</v>
      </c>
      <c r="C88" s="1192" t="s">
        <v>10</v>
      </c>
      <c r="D88" s="7">
        <v>1.3</v>
      </c>
      <c r="E88" s="7">
        <v>3.5</v>
      </c>
      <c r="F88" s="7">
        <v>1</v>
      </c>
      <c r="G88" s="7">
        <v>1.3</v>
      </c>
      <c r="H88" s="7">
        <v>1.2</v>
      </c>
      <c r="I88" s="7">
        <v>0.01</v>
      </c>
      <c r="J88" s="7">
        <v>0.01</v>
      </c>
      <c r="K88" s="7">
        <v>2</v>
      </c>
      <c r="L88" s="7">
        <v>1450</v>
      </c>
      <c r="M88" s="7">
        <v>2E-3</v>
      </c>
      <c r="N88" s="7">
        <v>1.5</v>
      </c>
      <c r="O88" s="7">
        <v>14</v>
      </c>
      <c r="P88" s="7">
        <v>1</v>
      </c>
      <c r="Q88" s="7">
        <f>ROUND((Y88/X88),0)</f>
        <v>51</v>
      </c>
      <c r="R88" s="8" t="s">
        <v>27</v>
      </c>
      <c r="S88" s="8">
        <v>2908</v>
      </c>
      <c r="T88" s="7">
        <f>ROUND((D88*E88*F88*K88*N88*L88*I88*J88/3600)+(G88*H88*I88*M88*O88*P88),4)</f>
        <v>1E-3</v>
      </c>
      <c r="U88" s="7">
        <f>ROUND((((3.6*T88*Q88)/1000)),4)</f>
        <v>2.0000000000000001E-4</v>
      </c>
      <c r="V88" s="102"/>
      <c r="W88" s="102"/>
      <c r="X88" s="3">
        <v>10</v>
      </c>
      <c r="Y88" s="3">
        <f>1263*0.4</f>
        <v>505.20000000000005</v>
      </c>
      <c r="Z88" s="3"/>
      <c r="AA88"/>
      <c r="AB88"/>
    </row>
    <row r="89" spans="1:28" s="147" customFormat="1" ht="24.95" customHeight="1" x14ac:dyDescent="0.25">
      <c r="A89" s="1275"/>
      <c r="B89" s="21" t="s">
        <v>28</v>
      </c>
      <c r="C89" s="1191"/>
      <c r="D89" s="7">
        <v>1.9</v>
      </c>
      <c r="E89" s="7">
        <v>3.5</v>
      </c>
      <c r="F89" s="7">
        <v>1</v>
      </c>
      <c r="G89" s="7">
        <v>1.3</v>
      </c>
      <c r="H89" s="7">
        <v>1.2</v>
      </c>
      <c r="I89" s="7">
        <v>0.01</v>
      </c>
      <c r="J89" s="7">
        <v>0.01</v>
      </c>
      <c r="K89" s="7">
        <v>1</v>
      </c>
      <c r="L89" s="7">
        <v>1450</v>
      </c>
      <c r="M89" s="7">
        <v>2E-3</v>
      </c>
      <c r="N89" s="7">
        <v>1.5</v>
      </c>
      <c r="O89" s="7">
        <v>14</v>
      </c>
      <c r="P89" s="7">
        <v>1</v>
      </c>
      <c r="Q89" s="7">
        <f>ROUND((Y89/X89),0)</f>
        <v>76</v>
      </c>
      <c r="R89" s="8" t="s">
        <v>27</v>
      </c>
      <c r="S89" s="8">
        <v>2908</v>
      </c>
      <c r="T89" s="7">
        <f>ROUND((D89*E89*F89*K89*N89*L89*I89*J89/3600)+(G89*H89*I89*M89*O89*P89),4)</f>
        <v>8.0000000000000004E-4</v>
      </c>
      <c r="U89" s="7">
        <f>ROUND((((3.6*T89*Q89)/1000)),4)</f>
        <v>2.0000000000000001E-4</v>
      </c>
      <c r="V89" s="102"/>
      <c r="W89" s="102"/>
      <c r="X89" s="3">
        <v>10</v>
      </c>
      <c r="Y89" s="3">
        <f>1263*0.6</f>
        <v>757.8</v>
      </c>
      <c r="Z89" s="3"/>
      <c r="AA89"/>
      <c r="AB89"/>
    </row>
    <row r="90" spans="1:28" s="147" customFormat="1" ht="24.95" customHeight="1" x14ac:dyDescent="0.25">
      <c r="A90" s="1275"/>
      <c r="B90" s="21" t="s">
        <v>26</v>
      </c>
      <c r="C90" s="1192" t="s">
        <v>359</v>
      </c>
      <c r="D90" s="7">
        <v>1.3</v>
      </c>
      <c r="E90" s="7">
        <v>3.5</v>
      </c>
      <c r="F90" s="7">
        <v>1</v>
      </c>
      <c r="G90" s="7">
        <v>1.3</v>
      </c>
      <c r="H90" s="7">
        <v>1.2</v>
      </c>
      <c r="I90" s="7">
        <v>0.01</v>
      </c>
      <c r="J90" s="7">
        <v>0.01</v>
      </c>
      <c r="K90" s="7">
        <v>2</v>
      </c>
      <c r="L90" s="7">
        <v>1450</v>
      </c>
      <c r="M90" s="7">
        <v>2E-3</v>
      </c>
      <c r="N90" s="7">
        <v>1.5</v>
      </c>
      <c r="O90" s="7">
        <v>14</v>
      </c>
      <c r="P90" s="7">
        <v>2</v>
      </c>
      <c r="Q90" s="7">
        <f>ROUND((Y90/X90),0)</f>
        <v>92</v>
      </c>
      <c r="R90" s="8" t="s">
        <v>27</v>
      </c>
      <c r="S90" s="8">
        <v>2908</v>
      </c>
      <c r="T90" s="7">
        <f>ROUND((D90*E90*F90*K90*N90*L90*I90*J90/3600)+(G90*H90*I90*M90*O90*P90),4)</f>
        <v>1.4E-3</v>
      </c>
      <c r="U90" s="7">
        <f>ROUND((((3.6*T90*Q90)/1000)),4)</f>
        <v>5.0000000000000001E-4</v>
      </c>
      <c r="V90" s="102"/>
      <c r="W90" s="102"/>
      <c r="X90" s="3">
        <v>10</v>
      </c>
      <c r="Y90" s="3">
        <f>2298*0.4</f>
        <v>919.2</v>
      </c>
      <c r="Z90" s="3"/>
      <c r="AA90"/>
      <c r="AB90"/>
    </row>
    <row r="91" spans="1:28" s="147" customFormat="1" ht="24.95" customHeight="1" x14ac:dyDescent="0.25">
      <c r="A91" s="1275"/>
      <c r="B91" s="21" t="s">
        <v>28</v>
      </c>
      <c r="C91" s="1191"/>
      <c r="D91" s="7">
        <v>1.9</v>
      </c>
      <c r="E91" s="7">
        <v>3.5</v>
      </c>
      <c r="F91" s="7">
        <v>1</v>
      </c>
      <c r="G91" s="7">
        <v>1.3</v>
      </c>
      <c r="H91" s="7">
        <v>1.2</v>
      </c>
      <c r="I91" s="7">
        <v>0.01</v>
      </c>
      <c r="J91" s="7">
        <v>0.01</v>
      </c>
      <c r="K91" s="7">
        <v>1</v>
      </c>
      <c r="L91" s="7">
        <v>1450</v>
      </c>
      <c r="M91" s="7">
        <v>2E-3</v>
      </c>
      <c r="N91" s="7">
        <v>1.5</v>
      </c>
      <c r="O91" s="7">
        <v>14</v>
      </c>
      <c r="P91" s="7">
        <v>1</v>
      </c>
      <c r="Q91" s="7">
        <f>ROUND((Y91/X91),0)</f>
        <v>138</v>
      </c>
      <c r="R91" s="8" t="s">
        <v>27</v>
      </c>
      <c r="S91" s="8">
        <v>2908</v>
      </c>
      <c r="T91" s="7">
        <f>ROUND((D91*E91*F91*K91*N91*L91*I91*J91/3600)+(G91*H91*I91*M91*O91*P91),4)</f>
        <v>8.0000000000000004E-4</v>
      </c>
      <c r="U91" s="7">
        <f>ROUND((((3.6*T91*Q91)/1000)),4)</f>
        <v>4.0000000000000002E-4</v>
      </c>
      <c r="V91" s="102"/>
      <c r="W91" s="102"/>
      <c r="X91" s="3">
        <v>10</v>
      </c>
      <c r="Y91" s="3">
        <f>2298*0.6</f>
        <v>1378.8</v>
      </c>
      <c r="Z91" s="3"/>
      <c r="AA91"/>
      <c r="AB91"/>
    </row>
    <row r="92" spans="1:28" s="147" customFormat="1" ht="24.95" customHeight="1" x14ac:dyDescent="0.25">
      <c r="A92" s="1275"/>
      <c r="B92" s="21" t="s">
        <v>26</v>
      </c>
      <c r="C92" s="182" t="s">
        <v>29</v>
      </c>
      <c r="D92" s="7">
        <v>1.3</v>
      </c>
      <c r="E92" s="7">
        <v>3.5</v>
      </c>
      <c r="F92" s="7">
        <v>1</v>
      </c>
      <c r="G92" s="7">
        <v>1.3</v>
      </c>
      <c r="H92" s="7">
        <v>1.2</v>
      </c>
      <c r="I92" s="7">
        <v>0.01</v>
      </c>
      <c r="J92" s="7">
        <v>0.01</v>
      </c>
      <c r="K92" s="7">
        <v>2</v>
      </c>
      <c r="L92" s="7">
        <v>1450</v>
      </c>
      <c r="M92" s="7">
        <v>2E-3</v>
      </c>
      <c r="N92" s="7">
        <v>1.5</v>
      </c>
      <c r="O92" s="7">
        <v>14</v>
      </c>
      <c r="P92" s="7">
        <v>1</v>
      </c>
      <c r="Q92" s="7">
        <f>ROUND((Y92/X92),0)</f>
        <v>217</v>
      </c>
      <c r="R92" s="8" t="s">
        <v>27</v>
      </c>
      <c r="S92" s="8">
        <v>2908</v>
      </c>
      <c r="T92" s="7">
        <f>ROUND((D92*E92*F92*K92*N92*L92*I92*J92/3600)+(G92*H92*I92*M92*O92*P92),4)</f>
        <v>1E-3</v>
      </c>
      <c r="U92" s="7">
        <f>ROUND((((3.6*T92*Q92)/1000)),5)</f>
        <v>7.7999999999999999E-4</v>
      </c>
      <c r="V92" s="102"/>
      <c r="W92" s="102"/>
      <c r="X92" s="3">
        <v>20</v>
      </c>
      <c r="Y92" s="3">
        <f>4339*1</f>
        <v>4339</v>
      </c>
      <c r="Z92" s="3"/>
      <c r="AA92"/>
      <c r="AB92"/>
    </row>
    <row r="93" spans="1:28" s="753" customFormat="1" ht="24.95" customHeight="1" x14ac:dyDescent="0.25">
      <c r="A93" s="1276" t="s">
        <v>1186</v>
      </c>
      <c r="B93" s="1204"/>
      <c r="C93" s="1204"/>
      <c r="D93" s="1204"/>
      <c r="E93" s="1204"/>
      <c r="F93" s="1204"/>
      <c r="G93" s="1204"/>
      <c r="H93" s="1204"/>
      <c r="I93" s="1204"/>
      <c r="J93" s="1204"/>
      <c r="K93" s="1204"/>
      <c r="L93" s="1204"/>
      <c r="M93" s="1204"/>
      <c r="N93" s="1204"/>
      <c r="O93" s="1204"/>
      <c r="P93" s="1204"/>
      <c r="Q93" s="1205"/>
      <c r="R93" s="750" t="s">
        <v>27</v>
      </c>
      <c r="S93" s="750">
        <v>2908</v>
      </c>
      <c r="T93" s="751">
        <f>T88+T89+T90+T91+T92</f>
        <v>5.0000000000000001E-3</v>
      </c>
      <c r="U93" s="751">
        <f>U88+U89+U90+U91+U92</f>
        <v>2.0799999999999998E-3</v>
      </c>
      <c r="V93" s="877"/>
      <c r="W93" s="877"/>
      <c r="X93" s="878"/>
      <c r="Y93" s="878"/>
      <c r="Z93" s="878"/>
      <c r="AA93" s="752"/>
    </row>
    <row r="94" spans="1:28" ht="15.75" x14ac:dyDescent="0.25">
      <c r="A94" s="1167" t="s">
        <v>11</v>
      </c>
      <c r="B94" s="1168"/>
      <c r="C94" s="1168"/>
      <c r="D94" s="1168"/>
      <c r="E94" s="1168"/>
      <c r="F94" s="1168"/>
      <c r="G94" s="1168"/>
      <c r="H94" s="1168"/>
      <c r="I94" s="1168"/>
      <c r="J94" s="1168"/>
      <c r="K94" s="1168"/>
      <c r="L94" s="1168"/>
      <c r="M94" s="1168"/>
      <c r="N94" s="1168"/>
      <c r="O94" s="1168"/>
      <c r="P94" s="1168"/>
      <c r="Q94" s="1168"/>
      <c r="R94" s="1168"/>
      <c r="S94" s="1168"/>
      <c r="T94" s="1168"/>
      <c r="U94" s="1169"/>
      <c r="V94" s="867">
        <f>T41+T45+T49+T53+T57+T63+T69+T79+T86+T93</f>
        <v>4.7300000000000002E-2</v>
      </c>
      <c r="W94" s="868">
        <f>U41+U45+U49+U53+U57+U63+U69+U79+U86+U93</f>
        <v>4.8579999999999998E-2</v>
      </c>
      <c r="X94" s="869">
        <v>2026</v>
      </c>
      <c r="Y94" s="870"/>
      <c r="Z94" s="4"/>
      <c r="AA94" s="2"/>
    </row>
    <row r="95" spans="1:28" x14ac:dyDescent="0.25">
      <c r="A95" s="1178" t="s">
        <v>8</v>
      </c>
      <c r="B95" s="1269"/>
      <c r="C95" s="1269"/>
      <c r="D95" s="1269"/>
      <c r="E95" s="1269"/>
      <c r="F95" s="1269"/>
      <c r="G95" s="1269"/>
      <c r="H95" s="1269"/>
      <c r="I95" s="1269"/>
      <c r="J95" s="1269"/>
      <c r="K95" s="1269"/>
      <c r="L95" s="1269"/>
      <c r="M95" s="1269"/>
      <c r="N95" s="1269"/>
      <c r="O95" s="1269"/>
      <c r="P95" s="1269"/>
      <c r="Q95" s="1269"/>
      <c r="R95" s="1269"/>
      <c r="S95" s="1269"/>
      <c r="T95" s="1269"/>
      <c r="U95" s="1270"/>
      <c r="V95" s="874"/>
      <c r="W95" s="874"/>
      <c r="X95" s="5" t="s">
        <v>15</v>
      </c>
      <c r="Y95" s="5" t="s">
        <v>7</v>
      </c>
      <c r="Z95" s="4"/>
      <c r="AA95" s="2"/>
    </row>
    <row r="96" spans="1:28" ht="24.95" customHeight="1" x14ac:dyDescent="0.25">
      <c r="A96" s="1193" t="s">
        <v>357</v>
      </c>
      <c r="B96" s="21" t="s">
        <v>26</v>
      </c>
      <c r="C96" s="1192" t="s">
        <v>10</v>
      </c>
      <c r="D96" s="7">
        <v>1.3</v>
      </c>
      <c r="E96" s="7">
        <v>3.5</v>
      </c>
      <c r="F96" s="7">
        <v>1</v>
      </c>
      <c r="G96" s="7">
        <v>1.3</v>
      </c>
      <c r="H96" s="7">
        <v>1.2</v>
      </c>
      <c r="I96" s="7">
        <v>0.01</v>
      </c>
      <c r="J96" s="7">
        <v>0.01</v>
      </c>
      <c r="K96" s="7">
        <v>3</v>
      </c>
      <c r="L96" s="7">
        <v>1450</v>
      </c>
      <c r="M96" s="7">
        <v>2E-3</v>
      </c>
      <c r="N96" s="7">
        <v>1.5</v>
      </c>
      <c r="O96" s="7">
        <v>14</v>
      </c>
      <c r="P96" s="7">
        <v>1</v>
      </c>
      <c r="Q96" s="7">
        <f>ROUND((Y96/X96),0)</f>
        <v>444</v>
      </c>
      <c r="R96" s="8" t="s">
        <v>27</v>
      </c>
      <c r="S96" s="8">
        <v>2908</v>
      </c>
      <c r="T96" s="7">
        <f>ROUND((D96*E96*F96*K96*N96*L96*I96*J96/3600)+(G96*H96*I96*M96*O96*P96),4)</f>
        <v>1.2999999999999999E-3</v>
      </c>
      <c r="U96" s="7">
        <f>ROUND((((3.6*T96*Q96)/1000)),4)</f>
        <v>2.0999999999999999E-3</v>
      </c>
      <c r="V96" s="25"/>
      <c r="W96" s="25"/>
      <c r="X96" s="5">
        <v>20</v>
      </c>
      <c r="Y96" s="5">
        <f>22206*0.4</f>
        <v>8882.4</v>
      </c>
      <c r="Z96" s="5"/>
      <c r="AA96" s="1"/>
    </row>
    <row r="97" spans="1:27" ht="24.95" customHeight="1" x14ac:dyDescent="0.25">
      <c r="A97" s="1271"/>
      <c r="B97" s="21" t="s">
        <v>28</v>
      </c>
      <c r="C97" s="1191"/>
      <c r="D97" s="7">
        <v>1.9</v>
      </c>
      <c r="E97" s="7">
        <v>3.5</v>
      </c>
      <c r="F97" s="7">
        <v>1</v>
      </c>
      <c r="G97" s="7">
        <v>1.3</v>
      </c>
      <c r="H97" s="7">
        <v>1.2</v>
      </c>
      <c r="I97" s="7">
        <v>0.01</v>
      </c>
      <c r="J97" s="7">
        <v>0.01</v>
      </c>
      <c r="K97" s="7">
        <v>2</v>
      </c>
      <c r="L97" s="7">
        <v>1450</v>
      </c>
      <c r="M97" s="7">
        <v>2E-3</v>
      </c>
      <c r="N97" s="7">
        <v>1.5</v>
      </c>
      <c r="O97" s="7">
        <v>14</v>
      </c>
      <c r="P97" s="7">
        <v>1</v>
      </c>
      <c r="Q97" s="7">
        <f>ROUND((Y97/X97),0)</f>
        <v>666</v>
      </c>
      <c r="R97" s="8" t="s">
        <v>27</v>
      </c>
      <c r="S97" s="8">
        <v>2908</v>
      </c>
      <c r="T97" s="7">
        <f>ROUND((D97*E97*F97*K97*N97*L97*I97*J97/3600)+(G97*H97*I97*M97*O97*P97),4)</f>
        <v>1.1999999999999999E-3</v>
      </c>
      <c r="U97" s="7">
        <f>ROUND((((3.6*T97*Q97)/1000)),4)</f>
        <v>2.8999999999999998E-3</v>
      </c>
      <c r="V97" s="25"/>
      <c r="W97" s="25"/>
      <c r="X97" s="5">
        <v>20</v>
      </c>
      <c r="Y97" s="5">
        <f>22206*0.6</f>
        <v>13323.6</v>
      </c>
      <c r="Z97" s="5"/>
      <c r="AA97" s="1"/>
    </row>
    <row r="98" spans="1:27" ht="24.95" customHeight="1" x14ac:dyDescent="0.25">
      <c r="A98" s="1271"/>
      <c r="B98" s="21" t="s">
        <v>26</v>
      </c>
      <c r="C98" s="182" t="s">
        <v>359</v>
      </c>
      <c r="D98" s="7">
        <v>1.3</v>
      </c>
      <c r="E98" s="7">
        <v>3.5</v>
      </c>
      <c r="F98" s="7">
        <v>1</v>
      </c>
      <c r="G98" s="7">
        <v>1.3</v>
      </c>
      <c r="H98" s="7">
        <v>1.2</v>
      </c>
      <c r="I98" s="7">
        <v>0.01</v>
      </c>
      <c r="J98" s="7">
        <v>0.01</v>
      </c>
      <c r="K98" s="7">
        <v>1</v>
      </c>
      <c r="L98" s="7">
        <v>1450</v>
      </c>
      <c r="M98" s="7">
        <v>2E-3</v>
      </c>
      <c r="N98" s="7">
        <v>1.5</v>
      </c>
      <c r="O98" s="7">
        <v>14</v>
      </c>
      <c r="P98" s="7">
        <v>1</v>
      </c>
      <c r="Q98" s="7">
        <f>ROUND((Y98/X98),0)</f>
        <v>1</v>
      </c>
      <c r="R98" s="8" t="s">
        <v>27</v>
      </c>
      <c r="S98" s="8">
        <v>2908</v>
      </c>
      <c r="T98" s="7">
        <f>ROUND((D98*E98*F98*K98*N98*L98*I98*J98/3600)+(G98*H98*I98*M98*O98*P98),4)</f>
        <v>6.9999999999999999E-4</v>
      </c>
      <c r="U98" s="7">
        <f>ROUND((((3.6*T98*Q98)/1000)),6)</f>
        <v>3.0000000000000001E-6</v>
      </c>
      <c r="V98" s="102"/>
      <c r="W98" s="102"/>
      <c r="X98" s="3">
        <v>3</v>
      </c>
      <c r="Y98" s="3">
        <f>3*1</f>
        <v>3</v>
      </c>
      <c r="Z98" s="4"/>
      <c r="AA98" s="2"/>
    </row>
    <row r="99" spans="1:27" ht="24.95" customHeight="1" x14ac:dyDescent="0.25">
      <c r="A99" s="1271"/>
      <c r="B99" s="21" t="s">
        <v>26</v>
      </c>
      <c r="C99" s="1192" t="s">
        <v>29</v>
      </c>
      <c r="D99" s="7">
        <v>1.3</v>
      </c>
      <c r="E99" s="7">
        <v>3.5</v>
      </c>
      <c r="F99" s="7">
        <v>1</v>
      </c>
      <c r="G99" s="7">
        <v>1.3</v>
      </c>
      <c r="H99" s="7">
        <v>1.2</v>
      </c>
      <c r="I99" s="7">
        <v>0.01</v>
      </c>
      <c r="J99" s="7">
        <v>0.01</v>
      </c>
      <c r="K99" s="7">
        <v>3</v>
      </c>
      <c r="L99" s="7">
        <v>1450</v>
      </c>
      <c r="M99" s="7">
        <v>2E-3</v>
      </c>
      <c r="N99" s="7">
        <v>1.5</v>
      </c>
      <c r="O99" s="7">
        <v>14</v>
      </c>
      <c r="P99" s="7">
        <v>1</v>
      </c>
      <c r="Q99" s="7">
        <f>ROUND((Y99/X99),0)</f>
        <v>176</v>
      </c>
      <c r="R99" s="8" t="s">
        <v>27</v>
      </c>
      <c r="S99" s="8">
        <v>2908</v>
      </c>
      <c r="T99" s="7">
        <f>ROUND((D99*E99*F99*K99*N99*L99*I99*J99/3600)+(G99*H99*I99*M99*O99*P99),4)</f>
        <v>1.2999999999999999E-3</v>
      </c>
      <c r="U99" s="7">
        <f>ROUND((((3.6*T99*Q99)/1000)),4)</f>
        <v>8.0000000000000004E-4</v>
      </c>
      <c r="V99" s="102"/>
      <c r="W99" s="102"/>
      <c r="X99" s="3">
        <v>20</v>
      </c>
      <c r="Y99" s="3">
        <f>8807.6*0.4</f>
        <v>3523.0400000000004</v>
      </c>
    </row>
    <row r="100" spans="1:27" ht="24.95" customHeight="1" x14ac:dyDescent="0.25">
      <c r="A100" s="1221"/>
      <c r="B100" s="21" t="s">
        <v>28</v>
      </c>
      <c r="C100" s="1272"/>
      <c r="D100" s="7">
        <v>1.9</v>
      </c>
      <c r="E100" s="7">
        <v>3.5</v>
      </c>
      <c r="F100" s="7">
        <v>1</v>
      </c>
      <c r="G100" s="7">
        <v>1.3</v>
      </c>
      <c r="H100" s="7">
        <v>1.2</v>
      </c>
      <c r="I100" s="7">
        <v>0.01</v>
      </c>
      <c r="J100" s="7">
        <v>0.01</v>
      </c>
      <c r="K100" s="7">
        <v>2</v>
      </c>
      <c r="L100" s="7">
        <v>1450</v>
      </c>
      <c r="M100" s="7">
        <v>2E-3</v>
      </c>
      <c r="N100" s="7">
        <v>1.5</v>
      </c>
      <c r="O100" s="7">
        <v>14</v>
      </c>
      <c r="P100" s="7">
        <v>1</v>
      </c>
      <c r="Q100" s="7">
        <f>ROUND((Y100/X100),0)</f>
        <v>211</v>
      </c>
      <c r="R100" s="8" t="s">
        <v>27</v>
      </c>
      <c r="S100" s="8">
        <v>2908</v>
      </c>
      <c r="T100" s="7">
        <f>ROUND((D100*E100*F100*K100*N100*L100*I100*J100/3600)+(G100*H100*I100*M100*O100*P100),4)</f>
        <v>1.1999999999999999E-3</v>
      </c>
      <c r="U100" s="7">
        <f>ROUND((((3.6*T100*Q100)/1000)),4)</f>
        <v>8.9999999999999998E-4</v>
      </c>
      <c r="V100" s="102"/>
      <c r="W100" s="102"/>
      <c r="X100" s="3">
        <v>25</v>
      </c>
      <c r="Y100" s="3">
        <f>8807.6*0.6</f>
        <v>5284.56</v>
      </c>
    </row>
    <row r="101" spans="1:27" s="152" customFormat="1" ht="24.95" customHeight="1" x14ac:dyDescent="0.25">
      <c r="A101" s="1266" t="s">
        <v>358</v>
      </c>
      <c r="B101" s="1188"/>
      <c r="C101" s="1188"/>
      <c r="D101" s="1188"/>
      <c r="E101" s="1188"/>
      <c r="F101" s="1188"/>
      <c r="G101" s="1188"/>
      <c r="H101" s="1188"/>
      <c r="I101" s="1188"/>
      <c r="J101" s="1188"/>
      <c r="K101" s="1188"/>
      <c r="L101" s="1188"/>
      <c r="M101" s="1188"/>
      <c r="N101" s="1188"/>
      <c r="O101" s="1188"/>
      <c r="P101" s="1188"/>
      <c r="Q101" s="1189"/>
      <c r="R101" s="194" t="s">
        <v>27</v>
      </c>
      <c r="S101" s="194">
        <v>2908</v>
      </c>
      <c r="T101" s="571">
        <f>T96+T100+T97+T99+T98</f>
        <v>5.6999999999999993E-3</v>
      </c>
      <c r="U101" s="571">
        <f>U96+U100+U97+U99+U98</f>
        <v>6.7030000000000006E-3</v>
      </c>
      <c r="V101" s="879"/>
      <c r="W101" s="879"/>
      <c r="X101" s="880"/>
      <c r="Y101" s="880"/>
      <c r="Z101" s="880"/>
    </row>
    <row r="102" spans="1:27" x14ac:dyDescent="0.25">
      <c r="A102" s="1171" t="s">
        <v>204</v>
      </c>
      <c r="B102" s="1216"/>
      <c r="C102" s="1216"/>
      <c r="D102" s="1216"/>
      <c r="E102" s="1216"/>
      <c r="F102" s="1216"/>
      <c r="G102" s="1216"/>
      <c r="H102" s="1216"/>
      <c r="I102" s="1216"/>
      <c r="J102" s="1216"/>
      <c r="K102" s="1216"/>
      <c r="L102" s="1216"/>
      <c r="M102" s="1216"/>
      <c r="N102" s="1216"/>
      <c r="O102" s="1216"/>
      <c r="P102" s="1216"/>
      <c r="Q102" s="1216"/>
      <c r="R102" s="1216"/>
      <c r="S102" s="1216"/>
      <c r="T102" s="1216"/>
      <c r="U102" s="1217"/>
      <c r="V102" s="875"/>
      <c r="W102" s="875"/>
    </row>
    <row r="103" spans="1:27" ht="24.95" customHeight="1" x14ac:dyDescent="0.25">
      <c r="A103" s="1271" t="s">
        <v>384</v>
      </c>
      <c r="B103" s="21" t="s">
        <v>26</v>
      </c>
      <c r="C103" s="1192" t="s">
        <v>207</v>
      </c>
      <c r="D103" s="7">
        <v>1.3</v>
      </c>
      <c r="E103" s="7">
        <v>3.5</v>
      </c>
      <c r="F103" s="7">
        <v>1</v>
      </c>
      <c r="G103" s="7">
        <v>1.3</v>
      </c>
      <c r="H103" s="7">
        <v>1.2</v>
      </c>
      <c r="I103" s="7">
        <v>0.01</v>
      </c>
      <c r="J103" s="7">
        <v>0.01</v>
      </c>
      <c r="K103" s="7">
        <v>2</v>
      </c>
      <c r="L103" s="7">
        <v>1450</v>
      </c>
      <c r="M103" s="7">
        <v>2E-3</v>
      </c>
      <c r="N103" s="7">
        <v>1.5</v>
      </c>
      <c r="O103" s="7">
        <v>14</v>
      </c>
      <c r="P103" s="7">
        <v>2</v>
      </c>
      <c r="Q103" s="7">
        <f>ROUND((Y103/X103),0)</f>
        <v>101</v>
      </c>
      <c r="R103" s="8" t="s">
        <v>27</v>
      </c>
      <c r="S103" s="8">
        <v>2908</v>
      </c>
      <c r="T103" s="7">
        <f>ROUND((D103*E103*F103*K103*N103*L103*I103*J103/3600)+(G103*H103*I103*M103*O103*P103),4)</f>
        <v>1.4E-3</v>
      </c>
      <c r="U103" s="7">
        <f>ROUND((((3.6*T103*Q103)/1000)),4)</f>
        <v>5.0000000000000001E-4</v>
      </c>
      <c r="V103" s="102"/>
      <c r="W103" s="102"/>
      <c r="X103" s="3">
        <v>10</v>
      </c>
      <c r="Y103" s="3">
        <f>2519.3*0.4</f>
        <v>1007.7200000000001</v>
      </c>
    </row>
    <row r="104" spans="1:27" ht="24.95" customHeight="1" x14ac:dyDescent="0.25">
      <c r="A104" s="1221"/>
      <c r="B104" s="21" t="s">
        <v>28</v>
      </c>
      <c r="C104" s="1272"/>
      <c r="D104" s="7">
        <v>1.9</v>
      </c>
      <c r="E104" s="7">
        <v>3.5</v>
      </c>
      <c r="F104" s="7">
        <v>1</v>
      </c>
      <c r="G104" s="7">
        <v>1.3</v>
      </c>
      <c r="H104" s="7">
        <v>1.2</v>
      </c>
      <c r="I104" s="7">
        <v>0.01</v>
      </c>
      <c r="J104" s="7">
        <v>0.01</v>
      </c>
      <c r="K104" s="7">
        <v>1</v>
      </c>
      <c r="L104" s="7">
        <v>1450</v>
      </c>
      <c r="M104" s="7">
        <v>2E-3</v>
      </c>
      <c r="N104" s="7">
        <v>1.5</v>
      </c>
      <c r="O104" s="7">
        <v>14</v>
      </c>
      <c r="P104" s="7">
        <v>1</v>
      </c>
      <c r="Q104" s="7">
        <f>ROUND((Y104/X104),0)</f>
        <v>151</v>
      </c>
      <c r="R104" s="8" t="s">
        <v>27</v>
      </c>
      <c r="S104" s="8">
        <v>2908</v>
      </c>
      <c r="T104" s="7">
        <f>ROUND((D104*E104*F104*K104*N104*L104*I104*J104/3600)+(G104*H104*I104*M104*O104*P104),4)</f>
        <v>8.0000000000000004E-4</v>
      </c>
      <c r="U104" s="7">
        <f>ROUND((((3.6*T104*Q104)/1000)),4)</f>
        <v>4.0000000000000002E-4</v>
      </c>
      <c r="V104" s="102"/>
      <c r="W104" s="102"/>
      <c r="X104" s="3">
        <v>10</v>
      </c>
      <c r="Y104" s="3">
        <f>2519.3*0.6</f>
        <v>1511.5800000000002</v>
      </c>
    </row>
    <row r="105" spans="1:27" ht="24.95" customHeight="1" x14ac:dyDescent="0.25">
      <c r="A105" s="1266" t="s">
        <v>369</v>
      </c>
      <c r="B105" s="1188"/>
      <c r="C105" s="1188"/>
      <c r="D105" s="1188"/>
      <c r="E105" s="1188"/>
      <c r="F105" s="1188"/>
      <c r="G105" s="1188"/>
      <c r="H105" s="1188"/>
      <c r="I105" s="1188"/>
      <c r="J105" s="1188"/>
      <c r="K105" s="1188"/>
      <c r="L105" s="1188"/>
      <c r="M105" s="1188"/>
      <c r="N105" s="1188"/>
      <c r="O105" s="1188"/>
      <c r="P105" s="1188"/>
      <c r="Q105" s="1189"/>
      <c r="R105" s="194" t="s">
        <v>27</v>
      </c>
      <c r="S105" s="194">
        <v>2908</v>
      </c>
      <c r="T105" s="571">
        <f>T103+T104</f>
        <v>2.2000000000000001E-3</v>
      </c>
      <c r="U105" s="571">
        <f>U103+U104</f>
        <v>8.9999999999999998E-4</v>
      </c>
      <c r="V105" s="103"/>
      <c r="W105" s="103"/>
    </row>
    <row r="106" spans="1:27" ht="15" customHeight="1" x14ac:dyDescent="0.25">
      <c r="A106" s="1171" t="s">
        <v>210</v>
      </c>
      <c r="B106" s="1216"/>
      <c r="C106" s="1216"/>
      <c r="D106" s="1216"/>
      <c r="E106" s="1216"/>
      <c r="F106" s="1216"/>
      <c r="G106" s="1216"/>
      <c r="H106" s="1216"/>
      <c r="I106" s="1216"/>
      <c r="J106" s="1216"/>
      <c r="K106" s="1216"/>
      <c r="L106" s="1216"/>
      <c r="M106" s="1216"/>
      <c r="N106" s="1216"/>
      <c r="O106" s="1216"/>
      <c r="P106" s="1216"/>
      <c r="Q106" s="1216"/>
      <c r="R106" s="1216"/>
      <c r="S106" s="1216"/>
      <c r="T106" s="1216"/>
      <c r="U106" s="1217"/>
      <c r="V106" s="875"/>
      <c r="W106" s="875"/>
    </row>
    <row r="107" spans="1:27" ht="24.95" customHeight="1" x14ac:dyDescent="0.25">
      <c r="A107" s="1271" t="s">
        <v>390</v>
      </c>
      <c r="B107" s="21" t="s">
        <v>26</v>
      </c>
      <c r="C107" s="1192" t="s">
        <v>207</v>
      </c>
      <c r="D107" s="7">
        <v>1.3</v>
      </c>
      <c r="E107" s="7">
        <v>3.5</v>
      </c>
      <c r="F107" s="7">
        <v>1</v>
      </c>
      <c r="G107" s="7">
        <v>1.3</v>
      </c>
      <c r="H107" s="7">
        <v>1.2</v>
      </c>
      <c r="I107" s="7">
        <v>0.01</v>
      </c>
      <c r="J107" s="7">
        <v>0.01</v>
      </c>
      <c r="K107" s="7">
        <v>2</v>
      </c>
      <c r="L107" s="7">
        <v>1450</v>
      </c>
      <c r="M107" s="7">
        <v>2E-3</v>
      </c>
      <c r="N107" s="7">
        <v>1.5</v>
      </c>
      <c r="O107" s="7">
        <v>14</v>
      </c>
      <c r="P107" s="7">
        <v>2</v>
      </c>
      <c r="Q107" s="7">
        <f>ROUND((Y107/X107),0)</f>
        <v>34</v>
      </c>
      <c r="R107" s="8" t="s">
        <v>27</v>
      </c>
      <c r="S107" s="8">
        <v>2908</v>
      </c>
      <c r="T107" s="7">
        <f>ROUND((D107*E107*F107*K107*N107*L107*I107*J107/3600)+(G107*H107*I107*M107*O107*P107),4)</f>
        <v>1.4E-3</v>
      </c>
      <c r="U107" s="7">
        <f>ROUND((((3.6*T107*Q107)/1000)),4)</f>
        <v>2.0000000000000001E-4</v>
      </c>
      <c r="V107" s="102"/>
      <c r="W107" s="102"/>
      <c r="X107" s="3">
        <v>10</v>
      </c>
      <c r="Y107" s="3">
        <f>856.2*0.4</f>
        <v>342.48</v>
      </c>
    </row>
    <row r="108" spans="1:27" ht="24.95" customHeight="1" x14ac:dyDescent="0.25">
      <c r="A108" s="1221"/>
      <c r="B108" s="21" t="s">
        <v>28</v>
      </c>
      <c r="C108" s="1272"/>
      <c r="D108" s="7">
        <v>1.9</v>
      </c>
      <c r="E108" s="7">
        <v>3.5</v>
      </c>
      <c r="F108" s="7">
        <v>1</v>
      </c>
      <c r="G108" s="7">
        <v>1.3</v>
      </c>
      <c r="H108" s="7">
        <v>1.2</v>
      </c>
      <c r="I108" s="7">
        <v>0.01</v>
      </c>
      <c r="J108" s="7">
        <v>0.01</v>
      </c>
      <c r="K108" s="7">
        <v>1</v>
      </c>
      <c r="L108" s="7">
        <v>1450</v>
      </c>
      <c r="M108" s="7">
        <v>2E-3</v>
      </c>
      <c r="N108" s="7">
        <v>1.5</v>
      </c>
      <c r="O108" s="7">
        <v>14</v>
      </c>
      <c r="P108" s="7">
        <v>1</v>
      </c>
      <c r="Q108" s="7">
        <f>ROUND((Y108/X108),0)</f>
        <v>51</v>
      </c>
      <c r="R108" s="8" t="s">
        <v>27</v>
      </c>
      <c r="S108" s="8">
        <v>2908</v>
      </c>
      <c r="T108" s="7">
        <f>ROUND((D108*E108*F108*K108*N108*L108*I108*J108/3600)+(G108*H108*I108*M108*O108*P108),4)</f>
        <v>8.0000000000000004E-4</v>
      </c>
      <c r="U108" s="7">
        <f>ROUND((((3.6*T108*Q108)/1000)),4)</f>
        <v>1E-4</v>
      </c>
      <c r="V108" s="102"/>
      <c r="W108" s="102"/>
      <c r="X108" s="3">
        <v>10</v>
      </c>
      <c r="Y108" s="3">
        <f>856.2*0.6</f>
        <v>513.72</v>
      </c>
    </row>
    <row r="109" spans="1:27" ht="24.95" customHeight="1" x14ac:dyDescent="0.25">
      <c r="A109" s="1266" t="s">
        <v>371</v>
      </c>
      <c r="B109" s="1188"/>
      <c r="C109" s="1188"/>
      <c r="D109" s="1188"/>
      <c r="E109" s="1188"/>
      <c r="F109" s="1188"/>
      <c r="G109" s="1188"/>
      <c r="H109" s="1188"/>
      <c r="I109" s="1188"/>
      <c r="J109" s="1188"/>
      <c r="K109" s="1188"/>
      <c r="L109" s="1188"/>
      <c r="M109" s="1188"/>
      <c r="N109" s="1188"/>
      <c r="O109" s="1188"/>
      <c r="P109" s="1188"/>
      <c r="Q109" s="1189"/>
      <c r="R109" s="194" t="s">
        <v>27</v>
      </c>
      <c r="S109" s="194">
        <v>2908</v>
      </c>
      <c r="T109" s="571">
        <f>T107+T108</f>
        <v>2.2000000000000001E-3</v>
      </c>
      <c r="U109" s="571">
        <f>U107+U108</f>
        <v>3.0000000000000003E-4</v>
      </c>
      <c r="V109" s="103"/>
      <c r="W109" s="103"/>
    </row>
    <row r="110" spans="1:27" x14ac:dyDescent="0.25">
      <c r="A110" s="1171" t="s">
        <v>213</v>
      </c>
      <c r="B110" s="1216"/>
      <c r="C110" s="1216"/>
      <c r="D110" s="1216"/>
      <c r="E110" s="1216"/>
      <c r="F110" s="1216"/>
      <c r="G110" s="1216"/>
      <c r="H110" s="1216"/>
      <c r="I110" s="1216"/>
      <c r="J110" s="1216"/>
      <c r="K110" s="1216"/>
      <c r="L110" s="1216"/>
      <c r="M110" s="1216"/>
      <c r="N110" s="1216"/>
      <c r="O110" s="1216"/>
      <c r="P110" s="1216"/>
      <c r="Q110" s="1216"/>
      <c r="R110" s="1216"/>
      <c r="S110" s="1216"/>
      <c r="T110" s="1216"/>
      <c r="U110" s="1217"/>
      <c r="V110" s="875"/>
      <c r="W110" s="875"/>
    </row>
    <row r="111" spans="1:27" ht="24.95" customHeight="1" x14ac:dyDescent="0.25">
      <c r="A111" s="1271" t="s">
        <v>396</v>
      </c>
      <c r="B111" s="21" t="s">
        <v>26</v>
      </c>
      <c r="C111" s="1192" t="s">
        <v>207</v>
      </c>
      <c r="D111" s="7">
        <v>1.3</v>
      </c>
      <c r="E111" s="7">
        <v>3.5</v>
      </c>
      <c r="F111" s="7">
        <v>1</v>
      </c>
      <c r="G111" s="7">
        <v>1.3</v>
      </c>
      <c r="H111" s="7">
        <v>1.2</v>
      </c>
      <c r="I111" s="7">
        <v>0.01</v>
      </c>
      <c r="J111" s="7">
        <v>0.01</v>
      </c>
      <c r="K111" s="7">
        <v>2</v>
      </c>
      <c r="L111" s="7">
        <v>1450</v>
      </c>
      <c r="M111" s="7">
        <v>2E-3</v>
      </c>
      <c r="N111" s="7">
        <v>1.5</v>
      </c>
      <c r="O111" s="7">
        <v>14</v>
      </c>
      <c r="P111" s="7">
        <v>2</v>
      </c>
      <c r="Q111" s="7">
        <f>ROUND((Y111/X111),0)</f>
        <v>110</v>
      </c>
      <c r="R111" s="8" t="s">
        <v>27</v>
      </c>
      <c r="S111" s="8">
        <v>2908</v>
      </c>
      <c r="T111" s="7">
        <f>ROUND((D111*E111*F111*K111*N111*L111*I111*J111/3600)+(G111*H111*I111*M111*O111*P111),4)</f>
        <v>1.4E-3</v>
      </c>
      <c r="U111" s="7">
        <f>ROUND((((3.6*T111*Q111)/1000)),4)</f>
        <v>5.9999999999999995E-4</v>
      </c>
      <c r="V111" s="102"/>
      <c r="W111" s="102"/>
      <c r="X111" s="3">
        <v>10</v>
      </c>
      <c r="Y111" s="3">
        <f>2743.2*0.4</f>
        <v>1097.28</v>
      </c>
    </row>
    <row r="112" spans="1:27" ht="24.95" customHeight="1" x14ac:dyDescent="0.25">
      <c r="A112" s="1221"/>
      <c r="B112" s="21" t="s">
        <v>28</v>
      </c>
      <c r="C112" s="1272"/>
      <c r="D112" s="7">
        <v>1.9</v>
      </c>
      <c r="E112" s="7">
        <v>3.5</v>
      </c>
      <c r="F112" s="7">
        <v>1</v>
      </c>
      <c r="G112" s="7">
        <v>1.3</v>
      </c>
      <c r="H112" s="7">
        <v>1.2</v>
      </c>
      <c r="I112" s="7">
        <v>0.01</v>
      </c>
      <c r="J112" s="7">
        <v>0.01</v>
      </c>
      <c r="K112" s="7">
        <v>1</v>
      </c>
      <c r="L112" s="7">
        <v>1450</v>
      </c>
      <c r="M112" s="7">
        <v>2E-3</v>
      </c>
      <c r="N112" s="7">
        <v>1.5</v>
      </c>
      <c r="O112" s="7">
        <v>14</v>
      </c>
      <c r="P112" s="7">
        <v>1</v>
      </c>
      <c r="Q112" s="7">
        <f>ROUND((Y112/X112),0)</f>
        <v>165</v>
      </c>
      <c r="R112" s="8" t="s">
        <v>27</v>
      </c>
      <c r="S112" s="8">
        <v>2908</v>
      </c>
      <c r="T112" s="7">
        <f>ROUND((D112*E112*F112*K112*N112*L112*I112*J112/3600)+(G112*H112*I112*M112*O112*P112),4)</f>
        <v>8.0000000000000004E-4</v>
      </c>
      <c r="U112" s="7">
        <f>ROUND((((3.6*T112*Q112)/1000)),4)</f>
        <v>5.0000000000000001E-4</v>
      </c>
      <c r="V112" s="102"/>
      <c r="W112" s="102"/>
      <c r="X112" s="3">
        <v>10</v>
      </c>
      <c r="Y112" s="3">
        <f>2743.2*0.6</f>
        <v>1645.9199999999998</v>
      </c>
    </row>
    <row r="113" spans="1:27" ht="24.95" customHeight="1" x14ac:dyDescent="0.25">
      <c r="A113" s="1266" t="s">
        <v>397</v>
      </c>
      <c r="B113" s="1188"/>
      <c r="C113" s="1188"/>
      <c r="D113" s="1188"/>
      <c r="E113" s="1188"/>
      <c r="F113" s="1188"/>
      <c r="G113" s="1188"/>
      <c r="H113" s="1188"/>
      <c r="I113" s="1188"/>
      <c r="J113" s="1188"/>
      <c r="K113" s="1188"/>
      <c r="L113" s="1188"/>
      <c r="M113" s="1188"/>
      <c r="N113" s="1188"/>
      <c r="O113" s="1188"/>
      <c r="P113" s="1188"/>
      <c r="Q113" s="1189"/>
      <c r="R113" s="194" t="s">
        <v>27</v>
      </c>
      <c r="S113" s="194">
        <v>2908</v>
      </c>
      <c r="T113" s="571">
        <f>T111+T112</f>
        <v>2.2000000000000001E-3</v>
      </c>
      <c r="U113" s="571">
        <f>U111+U112</f>
        <v>1.0999999999999998E-3</v>
      </c>
      <c r="V113" s="103"/>
      <c r="W113" s="103"/>
    </row>
    <row r="114" spans="1:27" x14ac:dyDescent="0.25">
      <c r="A114" s="1171" t="s">
        <v>232</v>
      </c>
      <c r="B114" s="1216"/>
      <c r="C114" s="1216"/>
      <c r="D114" s="1216"/>
      <c r="E114" s="1216"/>
      <c r="F114" s="1216"/>
      <c r="G114" s="1216"/>
      <c r="H114" s="1216"/>
      <c r="I114" s="1216"/>
      <c r="J114" s="1216"/>
      <c r="K114" s="1216"/>
      <c r="L114" s="1216"/>
      <c r="M114" s="1216"/>
      <c r="N114" s="1216"/>
      <c r="O114" s="1216"/>
      <c r="P114" s="1216"/>
      <c r="Q114" s="1216"/>
      <c r="R114" s="1216"/>
      <c r="S114" s="1216"/>
      <c r="T114" s="1216"/>
      <c r="U114" s="1217"/>
      <c r="V114" s="875"/>
      <c r="W114" s="875"/>
      <c r="AA114" s="1"/>
    </row>
    <row r="115" spans="1:27" ht="24.95" customHeight="1" x14ac:dyDescent="0.25">
      <c r="A115" s="1271" t="s">
        <v>405</v>
      </c>
      <c r="B115" s="21" t="s">
        <v>26</v>
      </c>
      <c r="C115" s="1192" t="s">
        <v>207</v>
      </c>
      <c r="D115" s="7">
        <v>1.3</v>
      </c>
      <c r="E115" s="7">
        <v>3.5</v>
      </c>
      <c r="F115" s="7">
        <v>1</v>
      </c>
      <c r="G115" s="7">
        <v>1.3</v>
      </c>
      <c r="H115" s="7">
        <v>1.2</v>
      </c>
      <c r="I115" s="7">
        <v>0.01</v>
      </c>
      <c r="J115" s="7">
        <v>0.01</v>
      </c>
      <c r="K115" s="7">
        <v>2</v>
      </c>
      <c r="L115" s="7">
        <v>1450</v>
      </c>
      <c r="M115" s="7">
        <v>2E-3</v>
      </c>
      <c r="N115" s="7">
        <v>1.5</v>
      </c>
      <c r="O115" s="7">
        <v>14</v>
      </c>
      <c r="P115" s="7">
        <v>2</v>
      </c>
      <c r="Q115" s="7">
        <f>ROUND((Y115/X115),0)</f>
        <v>68</v>
      </c>
      <c r="R115" s="8" t="s">
        <v>27</v>
      </c>
      <c r="S115" s="8">
        <v>2908</v>
      </c>
      <c r="T115" s="7">
        <f>ROUND((D115*E115*F115*K115*N115*L115*I115*J115/3600)+(G115*H115*I115*M115*O115*P115),4)</f>
        <v>1.4E-3</v>
      </c>
      <c r="U115" s="7">
        <f>ROUND((((3.6*T115*Q115)/1000)),4)</f>
        <v>2.9999999999999997E-4</v>
      </c>
      <c r="V115" s="102"/>
      <c r="W115" s="102"/>
      <c r="X115" s="3">
        <v>20</v>
      </c>
      <c r="Y115" s="3">
        <f>3424.7*0.4</f>
        <v>1369.88</v>
      </c>
      <c r="AA115" s="1"/>
    </row>
    <row r="116" spans="1:27" ht="24.95" customHeight="1" x14ac:dyDescent="0.25">
      <c r="A116" s="1221"/>
      <c r="B116" s="21" t="s">
        <v>28</v>
      </c>
      <c r="C116" s="1272"/>
      <c r="D116" s="7">
        <v>1.9</v>
      </c>
      <c r="E116" s="7">
        <v>3.5</v>
      </c>
      <c r="F116" s="7">
        <v>1</v>
      </c>
      <c r="G116" s="7">
        <v>1.3</v>
      </c>
      <c r="H116" s="7">
        <v>1.2</v>
      </c>
      <c r="I116" s="7">
        <v>0.01</v>
      </c>
      <c r="J116" s="7">
        <v>0.01</v>
      </c>
      <c r="K116" s="7">
        <v>2</v>
      </c>
      <c r="L116" s="7">
        <v>1450</v>
      </c>
      <c r="M116" s="7">
        <v>2E-3</v>
      </c>
      <c r="N116" s="7">
        <v>1.5</v>
      </c>
      <c r="O116" s="7">
        <v>14</v>
      </c>
      <c r="P116" s="7">
        <v>1</v>
      </c>
      <c r="Q116" s="7">
        <f>ROUND((Y116/X116),0)</f>
        <v>103</v>
      </c>
      <c r="R116" s="8" t="s">
        <v>27</v>
      </c>
      <c r="S116" s="8">
        <v>2908</v>
      </c>
      <c r="T116" s="7">
        <f>ROUND((D116*E116*F116*K116*N116*L116*I116*J116/3600)+(G116*H116*I116*M116*O116*P116),4)</f>
        <v>1.1999999999999999E-3</v>
      </c>
      <c r="U116" s="7">
        <f>ROUND((((3.6*T116*Q116)/1000)),4)</f>
        <v>4.0000000000000002E-4</v>
      </c>
      <c r="V116" s="102"/>
      <c r="W116" s="102"/>
      <c r="X116" s="3">
        <v>20</v>
      </c>
      <c r="Y116" s="3">
        <f>3424.7*0.6</f>
        <v>2054.8199999999997</v>
      </c>
      <c r="AA116" s="27"/>
    </row>
    <row r="117" spans="1:27" ht="24.95" customHeight="1" x14ac:dyDescent="0.25">
      <c r="A117" s="1266" t="s">
        <v>406</v>
      </c>
      <c r="B117" s="1188"/>
      <c r="C117" s="1188"/>
      <c r="D117" s="1188"/>
      <c r="E117" s="1188"/>
      <c r="F117" s="1188"/>
      <c r="G117" s="1188"/>
      <c r="H117" s="1188"/>
      <c r="I117" s="1188"/>
      <c r="J117" s="1188"/>
      <c r="K117" s="1188"/>
      <c r="L117" s="1188"/>
      <c r="M117" s="1188"/>
      <c r="N117" s="1188"/>
      <c r="O117" s="1188"/>
      <c r="P117" s="1188"/>
      <c r="Q117" s="1189"/>
      <c r="R117" s="194" t="s">
        <v>27</v>
      </c>
      <c r="S117" s="194">
        <v>2908</v>
      </c>
      <c r="T117" s="571">
        <f>T115+T116</f>
        <v>2.5999999999999999E-3</v>
      </c>
      <c r="U117" s="571">
        <f>U115+U116</f>
        <v>6.9999999999999999E-4</v>
      </c>
      <c r="V117" s="103"/>
      <c r="W117" s="103"/>
      <c r="AA117" s="1"/>
    </row>
    <row r="118" spans="1:27" x14ac:dyDescent="0.25">
      <c r="A118" s="1171" t="s">
        <v>233</v>
      </c>
      <c r="B118" s="1216"/>
      <c r="C118" s="1216"/>
      <c r="D118" s="1216"/>
      <c r="E118" s="1216"/>
      <c r="F118" s="1216"/>
      <c r="G118" s="1216"/>
      <c r="H118" s="1216"/>
      <c r="I118" s="1216"/>
      <c r="J118" s="1216"/>
      <c r="K118" s="1216"/>
      <c r="L118" s="1216"/>
      <c r="M118" s="1216"/>
      <c r="N118" s="1216"/>
      <c r="O118" s="1216"/>
      <c r="P118" s="1216"/>
      <c r="Q118" s="1216"/>
      <c r="R118" s="1216"/>
      <c r="S118" s="1216"/>
      <c r="T118" s="1216"/>
      <c r="U118" s="1217"/>
      <c r="V118" s="875"/>
      <c r="W118" s="875"/>
    </row>
    <row r="119" spans="1:27" ht="24.95" customHeight="1" x14ac:dyDescent="0.25">
      <c r="A119" s="1271" t="s">
        <v>411</v>
      </c>
      <c r="B119" s="21" t="s">
        <v>26</v>
      </c>
      <c r="C119" s="1192" t="s">
        <v>207</v>
      </c>
      <c r="D119" s="7">
        <v>1.3</v>
      </c>
      <c r="E119" s="7">
        <v>3.5</v>
      </c>
      <c r="F119" s="7">
        <v>1</v>
      </c>
      <c r="G119" s="7">
        <v>1.3</v>
      </c>
      <c r="H119" s="7">
        <v>1.2</v>
      </c>
      <c r="I119" s="7">
        <v>0.01</v>
      </c>
      <c r="J119" s="7">
        <v>0.01</v>
      </c>
      <c r="K119" s="7">
        <v>2</v>
      </c>
      <c r="L119" s="7">
        <v>1450</v>
      </c>
      <c r="M119" s="7">
        <v>2E-3</v>
      </c>
      <c r="N119" s="7">
        <v>1.5</v>
      </c>
      <c r="O119" s="7">
        <v>14</v>
      </c>
      <c r="P119" s="7">
        <v>2</v>
      </c>
      <c r="Q119" s="7">
        <f>ROUND((Y119/X119),0)</f>
        <v>51</v>
      </c>
      <c r="R119" s="8" t="s">
        <v>27</v>
      </c>
      <c r="S119" s="8">
        <v>2908</v>
      </c>
      <c r="T119" s="7">
        <f>ROUND((D119*E119*F119*K119*N119*L119*I119*J119/3600)+(G119*H119*I119*M119*O119*P119),4)</f>
        <v>1.4E-3</v>
      </c>
      <c r="U119" s="7">
        <f>ROUND((((3.6*T119*Q119)/1000)),4)</f>
        <v>2.9999999999999997E-4</v>
      </c>
      <c r="V119" s="102"/>
      <c r="W119" s="102"/>
      <c r="X119" s="3">
        <v>20</v>
      </c>
      <c r="Y119" s="3">
        <f>2536.9*0.4</f>
        <v>1014.7600000000001</v>
      </c>
    </row>
    <row r="120" spans="1:27" ht="24.95" customHeight="1" x14ac:dyDescent="0.25">
      <c r="A120" s="1221"/>
      <c r="B120" s="21" t="s">
        <v>28</v>
      </c>
      <c r="C120" s="1272"/>
      <c r="D120" s="7">
        <v>1.9</v>
      </c>
      <c r="E120" s="7">
        <v>3.5</v>
      </c>
      <c r="F120" s="7">
        <v>1</v>
      </c>
      <c r="G120" s="7">
        <v>1.3</v>
      </c>
      <c r="H120" s="7">
        <v>1.2</v>
      </c>
      <c r="I120" s="7">
        <v>0.01</v>
      </c>
      <c r="J120" s="7">
        <v>0.01</v>
      </c>
      <c r="K120" s="7">
        <v>2</v>
      </c>
      <c r="L120" s="7">
        <v>1450</v>
      </c>
      <c r="M120" s="7">
        <v>2E-3</v>
      </c>
      <c r="N120" s="7">
        <v>1.5</v>
      </c>
      <c r="O120" s="7">
        <v>14</v>
      </c>
      <c r="P120" s="7">
        <v>1</v>
      </c>
      <c r="Q120" s="7">
        <f>ROUND((Y120/X120),0)</f>
        <v>76</v>
      </c>
      <c r="R120" s="8" t="s">
        <v>27</v>
      </c>
      <c r="S120" s="8">
        <v>2908</v>
      </c>
      <c r="T120" s="7">
        <f>ROUND((D120*E120*F120*K120*N120*L120*I120*J120/3600)+(G120*H120*I120*M120*O120*P120),4)</f>
        <v>1.1999999999999999E-3</v>
      </c>
      <c r="U120" s="7">
        <f>ROUND((((3.6*T120*Q120)/1000)),4)</f>
        <v>2.9999999999999997E-4</v>
      </c>
      <c r="V120" s="102"/>
      <c r="W120" s="102"/>
      <c r="X120" s="3">
        <v>20</v>
      </c>
      <c r="Y120" s="3">
        <f>2536.9*0.6</f>
        <v>1522.14</v>
      </c>
    </row>
    <row r="121" spans="1:27" ht="24.95" customHeight="1" x14ac:dyDescent="0.25">
      <c r="A121" s="1266" t="s">
        <v>412</v>
      </c>
      <c r="B121" s="1188"/>
      <c r="C121" s="1188"/>
      <c r="D121" s="1188"/>
      <c r="E121" s="1188"/>
      <c r="F121" s="1188"/>
      <c r="G121" s="1188"/>
      <c r="H121" s="1188"/>
      <c r="I121" s="1188"/>
      <c r="J121" s="1188"/>
      <c r="K121" s="1188"/>
      <c r="L121" s="1188"/>
      <c r="M121" s="1188"/>
      <c r="N121" s="1188"/>
      <c r="O121" s="1188"/>
      <c r="P121" s="1188"/>
      <c r="Q121" s="1189"/>
      <c r="R121" s="194" t="s">
        <v>27</v>
      </c>
      <c r="S121" s="194">
        <v>2908</v>
      </c>
      <c r="T121" s="571">
        <f>T119+T120</f>
        <v>2.5999999999999999E-3</v>
      </c>
      <c r="U121" s="571">
        <f>U119+U120</f>
        <v>5.9999999999999995E-4</v>
      </c>
      <c r="V121" s="103"/>
      <c r="W121" s="103"/>
    </row>
    <row r="122" spans="1:27" x14ac:dyDescent="0.25">
      <c r="A122" s="1171" t="s">
        <v>244</v>
      </c>
      <c r="B122" s="1216"/>
      <c r="C122" s="1216"/>
      <c r="D122" s="1216"/>
      <c r="E122" s="1216"/>
      <c r="F122" s="1216"/>
      <c r="G122" s="1216"/>
      <c r="H122" s="1216"/>
      <c r="I122" s="1216"/>
      <c r="J122" s="1216"/>
      <c r="K122" s="1216"/>
      <c r="L122" s="1216"/>
      <c r="M122" s="1216"/>
      <c r="N122" s="1216"/>
      <c r="O122" s="1216"/>
      <c r="P122" s="1216"/>
      <c r="Q122" s="1216"/>
      <c r="R122" s="1216"/>
      <c r="S122" s="1216"/>
      <c r="T122" s="1216"/>
      <c r="U122" s="1217"/>
      <c r="V122" s="874"/>
      <c r="W122" s="874"/>
      <c r="X122" s="4"/>
      <c r="Y122" s="4"/>
      <c r="Z122" s="4"/>
      <c r="AA122" s="2"/>
    </row>
    <row r="123" spans="1:27" ht="24.95" customHeight="1" x14ac:dyDescent="0.25">
      <c r="A123" s="1193" t="s">
        <v>428</v>
      </c>
      <c r="B123" s="21" t="s">
        <v>26</v>
      </c>
      <c r="C123" s="1192" t="s">
        <v>29</v>
      </c>
      <c r="D123" s="7">
        <v>1.3</v>
      </c>
      <c r="E123" s="7">
        <v>3.5</v>
      </c>
      <c r="F123" s="7">
        <v>1</v>
      </c>
      <c r="G123" s="7">
        <v>1.3</v>
      </c>
      <c r="H123" s="7">
        <v>1.2</v>
      </c>
      <c r="I123" s="7">
        <v>0.01</v>
      </c>
      <c r="J123" s="7">
        <v>0.01</v>
      </c>
      <c r="K123" s="7">
        <v>1</v>
      </c>
      <c r="L123" s="7">
        <v>1450</v>
      </c>
      <c r="M123" s="7">
        <v>2E-3</v>
      </c>
      <c r="N123" s="7">
        <v>1.5</v>
      </c>
      <c r="O123" s="7">
        <v>14</v>
      </c>
      <c r="P123" s="7">
        <v>1</v>
      </c>
      <c r="Q123" s="7">
        <f>ROUND((Y123/X123),0)</f>
        <v>125</v>
      </c>
      <c r="R123" s="8" t="s">
        <v>27</v>
      </c>
      <c r="S123" s="8">
        <v>2908</v>
      </c>
      <c r="T123" s="7">
        <f>ROUND((D123*E123*F123*K123*N123*L123*I123*J123/3600)+(G123*H123*I123*M123*O123*P123),4)</f>
        <v>6.9999999999999999E-4</v>
      </c>
      <c r="U123" s="7">
        <f>ROUND((((3.6*T123*Q123)/1000)),5)</f>
        <v>3.2000000000000003E-4</v>
      </c>
      <c r="V123" s="25"/>
      <c r="W123" s="25"/>
      <c r="X123" s="5">
        <v>10</v>
      </c>
      <c r="Y123" s="5">
        <f>3124.7*0.4</f>
        <v>1249.8800000000001</v>
      </c>
      <c r="Z123" s="5"/>
      <c r="AA123" s="1"/>
    </row>
    <row r="124" spans="1:27" ht="24.95" customHeight="1" x14ac:dyDescent="0.25">
      <c r="A124" s="1220"/>
      <c r="B124" s="21" t="s">
        <v>28</v>
      </c>
      <c r="C124" s="1272"/>
      <c r="D124" s="7">
        <v>1.9</v>
      </c>
      <c r="E124" s="7">
        <v>3.5</v>
      </c>
      <c r="F124" s="7">
        <v>1</v>
      </c>
      <c r="G124" s="7">
        <v>1.3</v>
      </c>
      <c r="H124" s="7">
        <v>1.2</v>
      </c>
      <c r="I124" s="7">
        <v>0.01</v>
      </c>
      <c r="J124" s="7">
        <v>0.01</v>
      </c>
      <c r="K124" s="7">
        <v>1</v>
      </c>
      <c r="L124" s="7">
        <v>1450</v>
      </c>
      <c r="M124" s="7">
        <v>2E-3</v>
      </c>
      <c r="N124" s="7">
        <v>1.5</v>
      </c>
      <c r="O124" s="7">
        <v>14</v>
      </c>
      <c r="P124" s="7">
        <v>1</v>
      </c>
      <c r="Q124" s="7">
        <f>ROUND((Y124/X124),0)</f>
        <v>187</v>
      </c>
      <c r="R124" s="8" t="s">
        <v>27</v>
      </c>
      <c r="S124" s="8">
        <v>2908</v>
      </c>
      <c r="T124" s="7">
        <f>ROUND((D124*E124*F124*K124*N124*L124*I124*J124/3600)+(G124*H124*I124*M124*O124*P124),4)</f>
        <v>8.0000000000000004E-4</v>
      </c>
      <c r="U124" s="7">
        <f>ROUND((((3.6*T124*Q124)/1000)),4)</f>
        <v>5.0000000000000001E-4</v>
      </c>
      <c r="V124" s="25"/>
      <c r="W124" s="25"/>
      <c r="X124" s="5">
        <v>10</v>
      </c>
      <c r="Y124" s="5">
        <f>3124.7*0.6</f>
        <v>1874.8199999999997</v>
      </c>
      <c r="Z124" s="5"/>
      <c r="AA124" s="1"/>
    </row>
    <row r="125" spans="1:27" ht="24.95" customHeight="1" x14ac:dyDescent="0.25">
      <c r="A125" s="1220"/>
      <c r="B125" s="21" t="s">
        <v>26</v>
      </c>
      <c r="C125" s="1192" t="s">
        <v>359</v>
      </c>
      <c r="D125" s="7">
        <v>1.3</v>
      </c>
      <c r="E125" s="7">
        <v>3.5</v>
      </c>
      <c r="F125" s="7">
        <v>1</v>
      </c>
      <c r="G125" s="7">
        <v>1.3</v>
      </c>
      <c r="H125" s="7">
        <v>1.2</v>
      </c>
      <c r="I125" s="7">
        <v>0.01</v>
      </c>
      <c r="J125" s="7">
        <v>0.01</v>
      </c>
      <c r="K125" s="7">
        <v>1</v>
      </c>
      <c r="L125" s="7">
        <v>1450</v>
      </c>
      <c r="M125" s="7">
        <v>2E-3</v>
      </c>
      <c r="N125" s="7">
        <v>1.5</v>
      </c>
      <c r="O125" s="7">
        <v>14</v>
      </c>
      <c r="P125" s="7">
        <v>1</v>
      </c>
      <c r="Q125" s="7">
        <f>ROUND((Y125/X125),0)</f>
        <v>65</v>
      </c>
      <c r="R125" s="8" t="s">
        <v>27</v>
      </c>
      <c r="S125" s="8">
        <v>2908</v>
      </c>
      <c r="T125" s="7">
        <f>ROUND((D125*E125*F125*K125*N125*L125*I125*J125/3600)+(G125*H125*I125*M125*O125*P125),4)</f>
        <v>6.9999999999999999E-4</v>
      </c>
      <c r="U125" s="7">
        <f>ROUND((((3.6*T125*Q125)/1000)),4)</f>
        <v>2.0000000000000001E-4</v>
      </c>
      <c r="V125" s="102"/>
      <c r="W125" s="102"/>
      <c r="X125" s="3">
        <v>5</v>
      </c>
      <c r="Y125" s="3">
        <f>814*0.4</f>
        <v>325.60000000000002</v>
      </c>
    </row>
    <row r="126" spans="1:27" ht="24.95" customHeight="1" x14ac:dyDescent="0.25">
      <c r="A126" s="1220"/>
      <c r="B126" s="21" t="s">
        <v>28</v>
      </c>
      <c r="C126" s="1191"/>
      <c r="D126" s="7">
        <v>1.9</v>
      </c>
      <c r="E126" s="7">
        <v>3.5</v>
      </c>
      <c r="F126" s="7">
        <v>1</v>
      </c>
      <c r="G126" s="7">
        <v>1.3</v>
      </c>
      <c r="H126" s="7">
        <v>1.2</v>
      </c>
      <c r="I126" s="7">
        <v>0.01</v>
      </c>
      <c r="J126" s="7">
        <v>0.01</v>
      </c>
      <c r="K126" s="7">
        <v>1</v>
      </c>
      <c r="L126" s="7">
        <v>1450</v>
      </c>
      <c r="M126" s="7">
        <v>2E-3</v>
      </c>
      <c r="N126" s="7">
        <v>1.5</v>
      </c>
      <c r="O126" s="7">
        <v>14</v>
      </c>
      <c r="P126" s="7">
        <v>1</v>
      </c>
      <c r="Q126" s="7">
        <f>ROUND((Y126/X126),0)</f>
        <v>98</v>
      </c>
      <c r="R126" s="8" t="s">
        <v>27</v>
      </c>
      <c r="S126" s="8">
        <v>2908</v>
      </c>
      <c r="T126" s="7">
        <f>ROUND((D126*E126*F126*K126*N126*L126*I126*J126/3600)+(G126*H126*I126*M126*O126*P126),4)</f>
        <v>8.0000000000000004E-4</v>
      </c>
      <c r="U126" s="7">
        <f>ROUND((((3.6*T126*Q126)/1000)),4)</f>
        <v>2.9999999999999997E-4</v>
      </c>
      <c r="V126" s="102"/>
      <c r="W126" s="102"/>
      <c r="X126" s="3">
        <v>5</v>
      </c>
      <c r="Y126" s="3">
        <f>814*0.6</f>
        <v>488.4</v>
      </c>
    </row>
    <row r="127" spans="1:27" ht="24.95" customHeight="1" x14ac:dyDescent="0.25">
      <c r="A127" s="1266" t="s">
        <v>429</v>
      </c>
      <c r="B127" s="1188"/>
      <c r="C127" s="1188"/>
      <c r="D127" s="1188"/>
      <c r="E127" s="1188"/>
      <c r="F127" s="1188"/>
      <c r="G127" s="1188"/>
      <c r="H127" s="1188"/>
      <c r="I127" s="1188"/>
      <c r="J127" s="1188"/>
      <c r="K127" s="1188"/>
      <c r="L127" s="1188"/>
      <c r="M127" s="1188"/>
      <c r="N127" s="1188"/>
      <c r="O127" s="1188"/>
      <c r="P127" s="1188"/>
      <c r="Q127" s="1189"/>
      <c r="R127" s="194" t="s">
        <v>27</v>
      </c>
      <c r="S127" s="194">
        <v>2908</v>
      </c>
      <c r="T127" s="571">
        <f>MAX(T123,T125)+MAX(T124,T126)</f>
        <v>1.5E-3</v>
      </c>
      <c r="U127" s="571">
        <f>U123+U124+U125+U126</f>
        <v>1.32E-3</v>
      </c>
      <c r="V127" s="856"/>
      <c r="W127" s="856"/>
      <c r="X127" s="5"/>
      <c r="Y127" s="5"/>
      <c r="Z127" s="5"/>
      <c r="AA127" s="1"/>
    </row>
    <row r="128" spans="1:27" x14ac:dyDescent="0.25">
      <c r="A128" s="1178" t="s">
        <v>257</v>
      </c>
      <c r="B128" s="1269"/>
      <c r="C128" s="1269"/>
      <c r="D128" s="1269"/>
      <c r="E128" s="1269"/>
      <c r="F128" s="1269"/>
      <c r="G128" s="1269"/>
      <c r="H128" s="1269"/>
      <c r="I128" s="1269"/>
      <c r="J128" s="1269"/>
      <c r="K128" s="1269"/>
      <c r="L128" s="1269"/>
      <c r="M128" s="1269"/>
      <c r="N128" s="1269"/>
      <c r="O128" s="1269"/>
      <c r="P128" s="1269"/>
      <c r="Q128" s="1269"/>
      <c r="R128" s="1269"/>
      <c r="S128" s="1269"/>
      <c r="T128" s="1269"/>
      <c r="U128" s="1270"/>
      <c r="V128" s="875"/>
      <c r="W128" s="875"/>
      <c r="X128" s="4"/>
      <c r="Y128" s="4"/>
      <c r="Z128" s="4"/>
      <c r="AA128" s="2"/>
    </row>
    <row r="129" spans="1:28" ht="24.95" customHeight="1" x14ac:dyDescent="0.25">
      <c r="A129" s="1181" t="s">
        <v>445</v>
      </c>
      <c r="B129" s="327" t="s">
        <v>26</v>
      </c>
      <c r="C129" s="1185" t="s">
        <v>359</v>
      </c>
      <c r="D129" s="311">
        <v>1.3</v>
      </c>
      <c r="E129" s="311">
        <v>3.5</v>
      </c>
      <c r="F129" s="311">
        <v>1</v>
      </c>
      <c r="G129" s="311">
        <v>1.3</v>
      </c>
      <c r="H129" s="311">
        <v>1.2</v>
      </c>
      <c r="I129" s="311">
        <v>0.01</v>
      </c>
      <c r="J129" s="311">
        <v>0.01</v>
      </c>
      <c r="K129" s="311">
        <v>2</v>
      </c>
      <c r="L129" s="311">
        <v>1450</v>
      </c>
      <c r="M129" s="311">
        <v>2E-3</v>
      </c>
      <c r="N129" s="311">
        <v>1.5</v>
      </c>
      <c r="O129" s="311">
        <v>14</v>
      </c>
      <c r="P129" s="311">
        <v>1</v>
      </c>
      <c r="Q129" s="311">
        <f>ROUND((Y129/X129),0)</f>
        <v>47</v>
      </c>
      <c r="R129" s="312" t="s">
        <v>27</v>
      </c>
      <c r="S129" s="312">
        <v>2908</v>
      </c>
      <c r="T129" s="311">
        <f>ROUND((D129*E129*F129*K129*N129*L129*I129*J129/3600)+(G129*H129*I129*M129*O129*P129),4)</f>
        <v>1E-3</v>
      </c>
      <c r="U129" s="311">
        <f>ROUND((((3.6*T129*Q129)/1000)),4)</f>
        <v>2.0000000000000001E-4</v>
      </c>
      <c r="V129" s="25"/>
      <c r="W129" s="25"/>
      <c r="X129" s="3">
        <v>10</v>
      </c>
      <c r="Y129" s="3">
        <f>1170.1*0.4</f>
        <v>468.03999999999996</v>
      </c>
    </row>
    <row r="130" spans="1:28" ht="24.95" customHeight="1" x14ac:dyDescent="0.25">
      <c r="A130" s="1282"/>
      <c r="B130" s="327" t="s">
        <v>28</v>
      </c>
      <c r="C130" s="1184"/>
      <c r="D130" s="311">
        <v>1.9</v>
      </c>
      <c r="E130" s="311">
        <v>3.5</v>
      </c>
      <c r="F130" s="311">
        <v>1</v>
      </c>
      <c r="G130" s="311">
        <v>1.3</v>
      </c>
      <c r="H130" s="311">
        <v>1.2</v>
      </c>
      <c r="I130" s="311">
        <v>0.01</v>
      </c>
      <c r="J130" s="311">
        <v>0.01</v>
      </c>
      <c r="K130" s="311">
        <v>1</v>
      </c>
      <c r="L130" s="311">
        <v>1450</v>
      </c>
      <c r="M130" s="311">
        <v>2E-3</v>
      </c>
      <c r="N130" s="311">
        <v>1.5</v>
      </c>
      <c r="O130" s="311">
        <v>14</v>
      </c>
      <c r="P130" s="311">
        <v>1</v>
      </c>
      <c r="Q130" s="311">
        <f>ROUND((Y130/X130),0)</f>
        <v>70</v>
      </c>
      <c r="R130" s="312" t="s">
        <v>27</v>
      </c>
      <c r="S130" s="312">
        <v>2908</v>
      </c>
      <c r="T130" s="311">
        <f>ROUND((D130*E130*F130*K130*N130*L130*I130*J130/3600)+(G130*H130*I130*M130*O130*P130),4)</f>
        <v>8.0000000000000004E-4</v>
      </c>
      <c r="U130" s="311">
        <f>ROUND((((3.6*T130*Q130)/1000)),4)</f>
        <v>2.0000000000000001E-4</v>
      </c>
      <c r="V130" s="25"/>
      <c r="W130" s="25"/>
      <c r="X130" s="3">
        <v>10</v>
      </c>
      <c r="Y130" s="3">
        <f>1170.1*0.6</f>
        <v>702.06</v>
      </c>
    </row>
    <row r="131" spans="1:28" ht="24.95" customHeight="1" x14ac:dyDescent="0.25">
      <c r="A131" s="1277" t="s">
        <v>446</v>
      </c>
      <c r="B131" s="1280"/>
      <c r="C131" s="1280"/>
      <c r="D131" s="1280"/>
      <c r="E131" s="1280"/>
      <c r="F131" s="1280"/>
      <c r="G131" s="1280"/>
      <c r="H131" s="1280"/>
      <c r="I131" s="1280"/>
      <c r="J131" s="1280"/>
      <c r="K131" s="1280"/>
      <c r="L131" s="1280"/>
      <c r="M131" s="1280"/>
      <c r="N131" s="1280"/>
      <c r="O131" s="1280"/>
      <c r="P131" s="1280"/>
      <c r="Q131" s="1281"/>
      <c r="R131" s="313" t="s">
        <v>27</v>
      </c>
      <c r="S131" s="313">
        <v>2908</v>
      </c>
      <c r="T131" s="572">
        <f>T129+T130</f>
        <v>1.8E-3</v>
      </c>
      <c r="U131" s="572">
        <f>U129+U130</f>
        <v>4.0000000000000002E-4</v>
      </c>
      <c r="V131" s="856"/>
      <c r="W131" s="856"/>
    </row>
    <row r="132" spans="1:28" x14ac:dyDescent="0.25">
      <c r="A132" s="1171" t="s">
        <v>260</v>
      </c>
      <c r="B132" s="1216"/>
      <c r="C132" s="1216"/>
      <c r="D132" s="1216"/>
      <c r="E132" s="1216"/>
      <c r="F132" s="1216"/>
      <c r="G132" s="1216"/>
      <c r="H132" s="1216"/>
      <c r="I132" s="1216"/>
      <c r="J132" s="1216"/>
      <c r="K132" s="1216"/>
      <c r="L132" s="1216"/>
      <c r="M132" s="1216"/>
      <c r="N132" s="1216"/>
      <c r="O132" s="1216"/>
      <c r="P132" s="1216"/>
      <c r="Q132" s="1216"/>
      <c r="R132" s="1216"/>
      <c r="S132" s="1216"/>
      <c r="T132" s="1216"/>
      <c r="U132" s="1217"/>
      <c r="V132" s="874"/>
      <c r="W132" s="874"/>
      <c r="X132" s="4"/>
      <c r="Y132" s="4"/>
      <c r="Z132" s="4"/>
      <c r="AA132" s="2"/>
    </row>
    <row r="133" spans="1:28" ht="24.95" customHeight="1" x14ac:dyDescent="0.25">
      <c r="A133" s="1193" t="s">
        <v>457</v>
      </c>
      <c r="B133" s="21" t="s">
        <v>26</v>
      </c>
      <c r="C133" s="1192" t="s">
        <v>10</v>
      </c>
      <c r="D133" s="7">
        <v>1.3</v>
      </c>
      <c r="E133" s="7">
        <v>3.5</v>
      </c>
      <c r="F133" s="7">
        <v>1</v>
      </c>
      <c r="G133" s="7">
        <v>1.3</v>
      </c>
      <c r="H133" s="7">
        <v>1.2</v>
      </c>
      <c r="I133" s="7">
        <v>0.01</v>
      </c>
      <c r="J133" s="7">
        <v>0.01</v>
      </c>
      <c r="K133" s="7">
        <v>3</v>
      </c>
      <c r="L133" s="7">
        <v>1450</v>
      </c>
      <c r="M133" s="7">
        <v>2E-3</v>
      </c>
      <c r="N133" s="7">
        <v>1.5</v>
      </c>
      <c r="O133" s="7">
        <v>14</v>
      </c>
      <c r="P133" s="7">
        <v>1</v>
      </c>
      <c r="Q133" s="7">
        <f t="shared" ref="Q133:Q138" si="4">ROUND((Y133/X133),0)</f>
        <v>42</v>
      </c>
      <c r="R133" s="8" t="s">
        <v>27</v>
      </c>
      <c r="S133" s="8">
        <v>2908</v>
      </c>
      <c r="T133" s="7">
        <f t="shared" ref="T133:T138" si="5">ROUND((D133*E133*F133*K133*N133*L133*I133*J133/3600)+(G133*H133*I133*M133*O133*P133),4)</f>
        <v>1.2999999999999999E-3</v>
      </c>
      <c r="U133" s="7">
        <f t="shared" ref="U133:U138" si="6">ROUND((((3.6*T133*Q133)/1000)),4)</f>
        <v>2.0000000000000001E-4</v>
      </c>
      <c r="V133" s="25"/>
      <c r="W133" s="25"/>
      <c r="X133" s="5">
        <v>20</v>
      </c>
      <c r="Y133" s="5">
        <f>2124*0.4</f>
        <v>849.6</v>
      </c>
      <c r="Z133" s="5"/>
      <c r="AA133" s="1"/>
    </row>
    <row r="134" spans="1:28" ht="24.95" customHeight="1" x14ac:dyDescent="0.25">
      <c r="A134" s="1271"/>
      <c r="B134" s="21" t="s">
        <v>28</v>
      </c>
      <c r="C134" s="1191"/>
      <c r="D134" s="7">
        <v>1.9</v>
      </c>
      <c r="E134" s="7">
        <v>3.5</v>
      </c>
      <c r="F134" s="7">
        <v>1</v>
      </c>
      <c r="G134" s="7">
        <v>1.3</v>
      </c>
      <c r="H134" s="7">
        <v>1.2</v>
      </c>
      <c r="I134" s="7">
        <v>0.01</v>
      </c>
      <c r="J134" s="7">
        <v>0.01</v>
      </c>
      <c r="K134" s="7">
        <v>2</v>
      </c>
      <c r="L134" s="7">
        <v>1450</v>
      </c>
      <c r="M134" s="7">
        <v>2E-3</v>
      </c>
      <c r="N134" s="7">
        <v>1.5</v>
      </c>
      <c r="O134" s="7">
        <v>14</v>
      </c>
      <c r="P134" s="7">
        <v>1</v>
      </c>
      <c r="Q134" s="7">
        <f t="shared" si="4"/>
        <v>42</v>
      </c>
      <c r="R134" s="8" t="s">
        <v>27</v>
      </c>
      <c r="S134" s="8">
        <v>2908</v>
      </c>
      <c r="T134" s="7">
        <f t="shared" si="5"/>
        <v>1.1999999999999999E-3</v>
      </c>
      <c r="U134" s="7">
        <f t="shared" si="6"/>
        <v>2.0000000000000001E-4</v>
      </c>
      <c r="V134" s="25"/>
      <c r="W134" s="25"/>
      <c r="X134" s="5">
        <v>30</v>
      </c>
      <c r="Y134" s="5">
        <f>2124*0.6</f>
        <v>1274.3999999999999</v>
      </c>
      <c r="Z134" s="5"/>
      <c r="AA134" s="1"/>
    </row>
    <row r="135" spans="1:28" ht="24.95" customHeight="1" x14ac:dyDescent="0.25">
      <c r="A135" s="1271"/>
      <c r="B135" s="21" t="s">
        <v>26</v>
      </c>
      <c r="C135" s="1192" t="s">
        <v>359</v>
      </c>
      <c r="D135" s="7">
        <v>1.3</v>
      </c>
      <c r="E135" s="7">
        <v>3.5</v>
      </c>
      <c r="F135" s="7">
        <v>1</v>
      </c>
      <c r="G135" s="7">
        <v>1.3</v>
      </c>
      <c r="H135" s="7">
        <v>1.2</v>
      </c>
      <c r="I135" s="7">
        <v>0.01</v>
      </c>
      <c r="J135" s="7">
        <v>0.01</v>
      </c>
      <c r="K135" s="7">
        <v>6</v>
      </c>
      <c r="L135" s="7">
        <v>1450</v>
      </c>
      <c r="M135" s="7">
        <v>2E-3</v>
      </c>
      <c r="N135" s="7">
        <v>1.5</v>
      </c>
      <c r="O135" s="7">
        <v>14</v>
      </c>
      <c r="P135" s="7">
        <v>1</v>
      </c>
      <c r="Q135" s="7">
        <f t="shared" si="4"/>
        <v>77</v>
      </c>
      <c r="R135" s="8" t="s">
        <v>27</v>
      </c>
      <c r="S135" s="8">
        <v>2908</v>
      </c>
      <c r="T135" s="7">
        <f t="shared" si="5"/>
        <v>2.0999999999999999E-3</v>
      </c>
      <c r="U135" s="7">
        <f t="shared" si="6"/>
        <v>5.9999999999999995E-4</v>
      </c>
      <c r="V135" s="25"/>
      <c r="W135" s="25"/>
      <c r="X135" s="3">
        <v>40</v>
      </c>
      <c r="Y135" s="3">
        <f>7654*0.4</f>
        <v>3061.6000000000004</v>
      </c>
    </row>
    <row r="136" spans="1:28" ht="24.95" customHeight="1" x14ac:dyDescent="0.25">
      <c r="A136" s="1271"/>
      <c r="B136" s="21" t="s">
        <v>28</v>
      </c>
      <c r="C136" s="1191"/>
      <c r="D136" s="7">
        <v>1.9</v>
      </c>
      <c r="E136" s="7">
        <v>3.5</v>
      </c>
      <c r="F136" s="7">
        <v>1</v>
      </c>
      <c r="G136" s="7">
        <v>1.3</v>
      </c>
      <c r="H136" s="7">
        <v>1.2</v>
      </c>
      <c r="I136" s="7">
        <v>0.01</v>
      </c>
      <c r="J136" s="7">
        <v>0.01</v>
      </c>
      <c r="K136" s="7">
        <v>5</v>
      </c>
      <c r="L136" s="7">
        <v>1450</v>
      </c>
      <c r="M136" s="7">
        <v>2E-3</v>
      </c>
      <c r="N136" s="7">
        <v>1.5</v>
      </c>
      <c r="O136" s="7">
        <v>14</v>
      </c>
      <c r="P136" s="7">
        <v>1</v>
      </c>
      <c r="Q136" s="7">
        <f t="shared" si="4"/>
        <v>66</v>
      </c>
      <c r="R136" s="8" t="s">
        <v>27</v>
      </c>
      <c r="S136" s="8">
        <v>2908</v>
      </c>
      <c r="T136" s="7">
        <f t="shared" si="5"/>
        <v>2.3999999999999998E-3</v>
      </c>
      <c r="U136" s="7">
        <f t="shared" si="6"/>
        <v>5.9999999999999995E-4</v>
      </c>
      <c r="V136" s="25"/>
      <c r="W136" s="25"/>
      <c r="X136" s="3">
        <v>70</v>
      </c>
      <c r="Y136" s="3">
        <f>7654*0.6</f>
        <v>4592.3999999999996</v>
      </c>
    </row>
    <row r="137" spans="1:28" ht="24.95" customHeight="1" x14ac:dyDescent="0.25">
      <c r="A137" s="1271"/>
      <c r="B137" s="21" t="s">
        <v>26</v>
      </c>
      <c r="C137" s="1192" t="s">
        <v>29</v>
      </c>
      <c r="D137" s="7">
        <v>1.3</v>
      </c>
      <c r="E137" s="7">
        <v>3.5</v>
      </c>
      <c r="F137" s="7">
        <v>1</v>
      </c>
      <c r="G137" s="7">
        <v>1.3</v>
      </c>
      <c r="H137" s="7">
        <v>1.2</v>
      </c>
      <c r="I137" s="7">
        <v>0.01</v>
      </c>
      <c r="J137" s="7">
        <v>0.01</v>
      </c>
      <c r="K137" s="7">
        <v>12</v>
      </c>
      <c r="L137" s="7">
        <v>1450</v>
      </c>
      <c r="M137" s="7">
        <v>2E-3</v>
      </c>
      <c r="N137" s="7">
        <v>1.5</v>
      </c>
      <c r="O137" s="7">
        <v>14</v>
      </c>
      <c r="P137" s="7">
        <v>1</v>
      </c>
      <c r="Q137" s="7">
        <f t="shared" si="4"/>
        <v>59</v>
      </c>
      <c r="R137" s="8" t="s">
        <v>27</v>
      </c>
      <c r="S137" s="8">
        <v>2908</v>
      </c>
      <c r="T137" s="7">
        <f t="shared" si="5"/>
        <v>3.7000000000000002E-3</v>
      </c>
      <c r="U137" s="7">
        <f t="shared" si="6"/>
        <v>8.0000000000000004E-4</v>
      </c>
      <c r="V137" s="25"/>
      <c r="W137" s="25"/>
      <c r="X137" s="5">
        <v>90</v>
      </c>
      <c r="Y137" s="5">
        <f>13374.4*0.4</f>
        <v>5349.76</v>
      </c>
      <c r="Z137" s="5"/>
      <c r="AA137" s="1"/>
    </row>
    <row r="138" spans="1:28" ht="24.95" customHeight="1" x14ac:dyDescent="0.25">
      <c r="A138" s="1221"/>
      <c r="B138" s="21" t="s">
        <v>28</v>
      </c>
      <c r="C138" s="1272"/>
      <c r="D138" s="7">
        <v>1.9</v>
      </c>
      <c r="E138" s="7">
        <v>3.5</v>
      </c>
      <c r="F138" s="7">
        <v>1</v>
      </c>
      <c r="G138" s="7">
        <v>1.3</v>
      </c>
      <c r="H138" s="7">
        <v>1.2</v>
      </c>
      <c r="I138" s="7">
        <v>0.01</v>
      </c>
      <c r="J138" s="7">
        <v>0.01</v>
      </c>
      <c r="K138" s="7">
        <v>8</v>
      </c>
      <c r="L138" s="7">
        <v>1450</v>
      </c>
      <c r="M138" s="7">
        <v>2E-3</v>
      </c>
      <c r="N138" s="7">
        <v>1.5</v>
      </c>
      <c r="O138" s="7">
        <v>14</v>
      </c>
      <c r="P138" s="7">
        <v>2</v>
      </c>
      <c r="Q138" s="7">
        <f t="shared" si="4"/>
        <v>67</v>
      </c>
      <c r="R138" s="8" t="s">
        <v>27</v>
      </c>
      <c r="S138" s="8">
        <v>2908</v>
      </c>
      <c r="T138" s="7">
        <f t="shared" si="5"/>
        <v>4.1000000000000003E-3</v>
      </c>
      <c r="U138" s="7">
        <f t="shared" si="6"/>
        <v>1E-3</v>
      </c>
      <c r="V138" s="25"/>
      <c r="W138" s="25"/>
      <c r="X138" s="5">
        <v>120</v>
      </c>
      <c r="Y138" s="5">
        <f>13374.4*0.6</f>
        <v>8024.6399999999994</v>
      </c>
      <c r="Z138" s="5"/>
      <c r="AA138" s="1"/>
    </row>
    <row r="139" spans="1:28" ht="24.95" customHeight="1" x14ac:dyDescent="0.25">
      <c r="A139" s="1266" t="s">
        <v>458</v>
      </c>
      <c r="B139" s="1188"/>
      <c r="C139" s="1188"/>
      <c r="D139" s="1188"/>
      <c r="E139" s="1188"/>
      <c r="F139" s="1188"/>
      <c r="G139" s="1188"/>
      <c r="H139" s="1188"/>
      <c r="I139" s="1188"/>
      <c r="J139" s="1188"/>
      <c r="K139" s="1188"/>
      <c r="L139" s="1188"/>
      <c r="M139" s="1188"/>
      <c r="N139" s="1188"/>
      <c r="O139" s="1188"/>
      <c r="P139" s="1188"/>
      <c r="Q139" s="1189"/>
      <c r="R139" s="194" t="s">
        <v>27</v>
      </c>
      <c r="S139" s="194">
        <v>2908</v>
      </c>
      <c r="T139" s="571">
        <f>T133+T135+T137+MAX(T134,T136,T138)</f>
        <v>1.1200000000000002E-2</v>
      </c>
      <c r="U139" s="571">
        <f>U133+U138+U134+U137+U135+U136</f>
        <v>3.3999999999999998E-3</v>
      </c>
      <c r="V139" s="856"/>
      <c r="W139" s="856"/>
      <c r="X139" s="4"/>
      <c r="Y139" s="4"/>
      <c r="Z139" s="4"/>
      <c r="AA139" s="2"/>
    </row>
    <row r="140" spans="1:28" x14ac:dyDescent="0.25">
      <c r="A140" s="1171" t="s">
        <v>264</v>
      </c>
      <c r="B140" s="1216"/>
      <c r="C140" s="1216"/>
      <c r="D140" s="1216"/>
      <c r="E140" s="1216"/>
      <c r="F140" s="1216"/>
      <c r="G140" s="1216"/>
      <c r="H140" s="1216"/>
      <c r="I140" s="1216"/>
      <c r="J140" s="1216"/>
      <c r="K140" s="1216"/>
      <c r="L140" s="1216"/>
      <c r="M140" s="1216"/>
      <c r="N140" s="1216"/>
      <c r="O140" s="1216"/>
      <c r="P140" s="1216"/>
      <c r="Q140" s="1216"/>
      <c r="R140" s="1216"/>
      <c r="S140" s="1216"/>
      <c r="T140" s="1216"/>
      <c r="U140" s="1217"/>
      <c r="V140" s="874"/>
      <c r="W140" s="874"/>
      <c r="X140" s="5"/>
      <c r="Y140" s="5"/>
      <c r="Z140" s="5"/>
      <c r="AA140" s="1"/>
    </row>
    <row r="141" spans="1:28" ht="24.95" customHeight="1" x14ac:dyDescent="0.25">
      <c r="A141" s="1195">
        <v>7078</v>
      </c>
      <c r="B141" s="21" t="s">
        <v>26</v>
      </c>
      <c r="C141" s="1192" t="s">
        <v>359</v>
      </c>
      <c r="D141" s="7">
        <v>1.3</v>
      </c>
      <c r="E141" s="7">
        <v>3.5</v>
      </c>
      <c r="F141" s="7">
        <v>1</v>
      </c>
      <c r="G141" s="7">
        <v>1.3</v>
      </c>
      <c r="H141" s="7">
        <v>1.2</v>
      </c>
      <c r="I141" s="7">
        <v>0.01</v>
      </c>
      <c r="J141" s="7">
        <v>0.01</v>
      </c>
      <c r="K141" s="7">
        <v>1</v>
      </c>
      <c r="L141" s="7">
        <v>1450</v>
      </c>
      <c r="M141" s="7">
        <v>2E-3</v>
      </c>
      <c r="N141" s="7">
        <v>1.5</v>
      </c>
      <c r="O141" s="7">
        <v>14</v>
      </c>
      <c r="P141" s="7">
        <v>1</v>
      </c>
      <c r="Q141" s="7">
        <f>ROUND((Y141/X141),0)</f>
        <v>4</v>
      </c>
      <c r="R141" s="8" t="s">
        <v>27</v>
      </c>
      <c r="S141" s="8">
        <v>2908</v>
      </c>
      <c r="T141" s="7">
        <f>ROUND((D141*E141*F141*K141*N141*L141*I141*J141/3600)+(G141*H141*I141*M141*O141*P141),4)</f>
        <v>6.9999999999999999E-4</v>
      </c>
      <c r="U141" s="7">
        <f>ROUND((((3.6*T141*Q141)/1000)),5)</f>
        <v>1.0000000000000001E-5</v>
      </c>
      <c r="V141" s="25"/>
      <c r="W141" s="25"/>
      <c r="X141" s="3">
        <v>5</v>
      </c>
      <c r="Y141" s="3">
        <f>46.5*0.4</f>
        <v>18.600000000000001</v>
      </c>
    </row>
    <row r="142" spans="1:28" ht="24.95" customHeight="1" x14ac:dyDescent="0.25">
      <c r="A142" s="1196"/>
      <c r="B142" s="21" t="s">
        <v>28</v>
      </c>
      <c r="C142" s="1191"/>
      <c r="D142" s="7">
        <v>1.9</v>
      </c>
      <c r="E142" s="7">
        <v>3.5</v>
      </c>
      <c r="F142" s="7">
        <v>1</v>
      </c>
      <c r="G142" s="7">
        <v>1.3</v>
      </c>
      <c r="H142" s="7">
        <v>1.2</v>
      </c>
      <c r="I142" s="7">
        <v>0.01</v>
      </c>
      <c r="J142" s="7">
        <v>0.01</v>
      </c>
      <c r="K142" s="7">
        <v>1</v>
      </c>
      <c r="L142" s="7">
        <v>1450</v>
      </c>
      <c r="M142" s="7">
        <v>2E-3</v>
      </c>
      <c r="N142" s="7">
        <v>1.5</v>
      </c>
      <c r="O142" s="7">
        <v>14</v>
      </c>
      <c r="P142" s="7">
        <v>1</v>
      </c>
      <c r="Q142" s="7">
        <f>ROUND((Y142/X142),0)</f>
        <v>6</v>
      </c>
      <c r="R142" s="8" t="s">
        <v>27</v>
      </c>
      <c r="S142" s="8">
        <v>2908</v>
      </c>
      <c r="T142" s="7">
        <f>ROUND((D142*E142*F142*K142*N142*L142*I142*J142/3600)+(G142*H142*I142*M142*O142*P142),4)</f>
        <v>8.0000000000000004E-4</v>
      </c>
      <c r="U142" s="7">
        <f>ROUND((((3.6*T142*Q142)/1000)),5)</f>
        <v>2.0000000000000002E-5</v>
      </c>
      <c r="V142" s="25"/>
      <c r="W142" s="25"/>
      <c r="X142" s="3">
        <v>5</v>
      </c>
      <c r="Y142" s="3">
        <f>46.5*0.6</f>
        <v>27.9</v>
      </c>
    </row>
    <row r="143" spans="1:28" ht="24.95" customHeight="1" x14ac:dyDescent="0.25">
      <c r="A143" s="1266" t="s">
        <v>474</v>
      </c>
      <c r="B143" s="1188"/>
      <c r="C143" s="1188"/>
      <c r="D143" s="1188"/>
      <c r="E143" s="1188"/>
      <c r="F143" s="1188"/>
      <c r="G143" s="1188"/>
      <c r="H143" s="1188"/>
      <c r="I143" s="1188"/>
      <c r="J143" s="1188"/>
      <c r="K143" s="1188"/>
      <c r="L143" s="1188"/>
      <c r="M143" s="1188"/>
      <c r="N143" s="1188"/>
      <c r="O143" s="1188"/>
      <c r="P143" s="1188"/>
      <c r="Q143" s="1189"/>
      <c r="R143" s="194" t="s">
        <v>27</v>
      </c>
      <c r="S143" s="194">
        <v>2908</v>
      </c>
      <c r="T143" s="571">
        <f>T141+T142</f>
        <v>1.5E-3</v>
      </c>
      <c r="U143" s="571">
        <f>U141+U142</f>
        <v>3.0000000000000004E-5</v>
      </c>
      <c r="V143" s="856"/>
      <c r="W143" s="856"/>
      <c r="X143" s="5"/>
      <c r="Y143" s="5"/>
      <c r="Z143" s="5"/>
      <c r="AA143" s="1"/>
    </row>
    <row r="144" spans="1:28" x14ac:dyDescent="0.25">
      <c r="A144" s="1171" t="s">
        <v>276</v>
      </c>
      <c r="B144" s="1216"/>
      <c r="C144" s="1216"/>
      <c r="D144" s="1216"/>
      <c r="E144" s="1216"/>
      <c r="F144" s="1216"/>
      <c r="G144" s="1216"/>
      <c r="H144" s="1216"/>
      <c r="I144" s="1216"/>
      <c r="J144" s="1216"/>
      <c r="K144" s="1216"/>
      <c r="L144" s="1216"/>
      <c r="M144" s="1216"/>
      <c r="N144" s="1216"/>
      <c r="O144" s="1216"/>
      <c r="P144" s="1216"/>
      <c r="Q144" s="1216"/>
      <c r="R144" s="1216"/>
      <c r="S144" s="1216"/>
      <c r="T144" s="1216"/>
      <c r="U144" s="1217"/>
      <c r="V144" s="874"/>
      <c r="W144" s="874"/>
      <c r="X144" s="4"/>
      <c r="Y144" s="4"/>
      <c r="Z144" s="4"/>
      <c r="AA144" s="2"/>
      <c r="AB144" s="2"/>
    </row>
    <row r="145" spans="1:28" ht="24.95" customHeight="1" x14ac:dyDescent="0.25">
      <c r="A145" s="1209">
        <v>7085</v>
      </c>
      <c r="B145" s="21" t="s">
        <v>26</v>
      </c>
      <c r="C145" s="1192" t="s">
        <v>359</v>
      </c>
      <c r="D145" s="7">
        <v>1.3</v>
      </c>
      <c r="E145" s="7">
        <v>3.5</v>
      </c>
      <c r="F145" s="7">
        <v>1</v>
      </c>
      <c r="G145" s="7">
        <v>1.3</v>
      </c>
      <c r="H145" s="7">
        <v>1.2</v>
      </c>
      <c r="I145" s="7">
        <v>0.01</v>
      </c>
      <c r="J145" s="7">
        <v>0.01</v>
      </c>
      <c r="K145" s="7">
        <v>1</v>
      </c>
      <c r="L145" s="7">
        <v>1450</v>
      </c>
      <c r="M145" s="7">
        <v>2E-3</v>
      </c>
      <c r="N145" s="7">
        <v>1.5</v>
      </c>
      <c r="O145" s="7">
        <v>14</v>
      </c>
      <c r="P145" s="7">
        <v>1</v>
      </c>
      <c r="Q145" s="7">
        <f>ROUND((Y145/X145),0)</f>
        <v>2</v>
      </c>
      <c r="R145" s="8" t="s">
        <v>27</v>
      </c>
      <c r="S145" s="8">
        <v>2908</v>
      </c>
      <c r="T145" s="7">
        <f>ROUND((D145*E145*F145*K145*N145*L145*I145*J145/3600)+(G145*H145*I145*M145*O145*P145),4)</f>
        <v>6.9999999999999999E-4</v>
      </c>
      <c r="U145" s="7">
        <f>ROUND((((3.6*T145*Q145)/1000)),5)</f>
        <v>1.0000000000000001E-5</v>
      </c>
      <c r="V145" s="25"/>
      <c r="W145" s="25"/>
      <c r="X145" s="5">
        <v>2</v>
      </c>
      <c r="Y145" s="5">
        <f>10.8*0.4</f>
        <v>4.32</v>
      </c>
      <c r="Z145" s="5"/>
      <c r="AA145" s="1"/>
      <c r="AB145" s="2"/>
    </row>
    <row r="146" spans="1:28" ht="24.95" customHeight="1" x14ac:dyDescent="0.25">
      <c r="A146" s="1195"/>
      <c r="B146" s="21" t="s">
        <v>28</v>
      </c>
      <c r="C146" s="1191"/>
      <c r="D146" s="7">
        <v>1.9</v>
      </c>
      <c r="E146" s="7">
        <v>3.5</v>
      </c>
      <c r="F146" s="7">
        <v>1</v>
      </c>
      <c r="G146" s="7">
        <v>1.3</v>
      </c>
      <c r="H146" s="7">
        <v>1.2</v>
      </c>
      <c r="I146" s="7">
        <v>0.01</v>
      </c>
      <c r="J146" s="7">
        <v>0.01</v>
      </c>
      <c r="K146" s="7">
        <v>1</v>
      </c>
      <c r="L146" s="7">
        <v>1450</v>
      </c>
      <c r="M146" s="7">
        <v>2E-3</v>
      </c>
      <c r="N146" s="7">
        <v>1.5</v>
      </c>
      <c r="O146" s="7">
        <v>14</v>
      </c>
      <c r="P146" s="7">
        <v>1</v>
      </c>
      <c r="Q146" s="7">
        <f>ROUND((Y146/X146),0)</f>
        <v>3</v>
      </c>
      <c r="R146" s="8" t="s">
        <v>27</v>
      </c>
      <c r="S146" s="8">
        <v>2908</v>
      </c>
      <c r="T146" s="7">
        <f>ROUND((D146*E146*F146*K146*N146*L146*I146*J146/3600)+(G146*H146*I146*M146*O146*P146),4)</f>
        <v>8.0000000000000004E-4</v>
      </c>
      <c r="U146" s="7">
        <f>ROUND((((3.6*T146*Q146)/1000)),5)</f>
        <v>1.0000000000000001E-5</v>
      </c>
      <c r="V146" s="25"/>
      <c r="W146" s="25"/>
      <c r="X146" s="5">
        <v>2</v>
      </c>
      <c r="Y146" s="5">
        <f>10.8*0.6</f>
        <v>6.48</v>
      </c>
      <c r="Z146" s="5"/>
      <c r="AA146" s="1"/>
      <c r="AB146" s="2"/>
    </row>
    <row r="147" spans="1:28" ht="24.95" customHeight="1" x14ac:dyDescent="0.25">
      <c r="A147" s="1195"/>
      <c r="B147" s="21" t="s">
        <v>26</v>
      </c>
      <c r="C147" s="1192" t="s">
        <v>484</v>
      </c>
      <c r="D147" s="7">
        <v>1.3</v>
      </c>
      <c r="E147" s="7">
        <v>3.5</v>
      </c>
      <c r="F147" s="7">
        <v>1</v>
      </c>
      <c r="G147" s="7">
        <v>1.3</v>
      </c>
      <c r="H147" s="7">
        <v>1.2</v>
      </c>
      <c r="I147" s="7">
        <v>0.01</v>
      </c>
      <c r="J147" s="7">
        <v>0.01</v>
      </c>
      <c r="K147" s="7">
        <v>2</v>
      </c>
      <c r="L147" s="7">
        <v>1450</v>
      </c>
      <c r="M147" s="7">
        <v>2E-3</v>
      </c>
      <c r="N147" s="7">
        <v>1.5</v>
      </c>
      <c r="O147" s="7">
        <v>14</v>
      </c>
      <c r="P147" s="7">
        <v>1</v>
      </c>
      <c r="Q147" s="7">
        <f>ROUND((Y147/X147),0)</f>
        <v>64</v>
      </c>
      <c r="R147" s="8" t="s">
        <v>27</v>
      </c>
      <c r="S147" s="8">
        <v>2908</v>
      </c>
      <c r="T147" s="7">
        <f>ROUND((D147*E147*F147*K147*N147*L147*I147*J147/3600)+(G147*H147*I147*M147*O147*P147),4)</f>
        <v>1E-3</v>
      </c>
      <c r="U147" s="7">
        <f>ROUND((((3.6*T147*Q147)/1000)),4)</f>
        <v>2.0000000000000001E-4</v>
      </c>
      <c r="V147" s="25"/>
      <c r="W147" s="25"/>
      <c r="X147" s="5">
        <v>10</v>
      </c>
      <c r="Y147" s="5">
        <f>1600*0.4</f>
        <v>640</v>
      </c>
      <c r="Z147" s="5"/>
      <c r="AA147" s="1"/>
      <c r="AB147" s="2"/>
    </row>
    <row r="148" spans="1:28" ht="24.95" customHeight="1" x14ac:dyDescent="0.25">
      <c r="A148" s="1195"/>
      <c r="B148" s="21" t="s">
        <v>28</v>
      </c>
      <c r="C148" s="1191"/>
      <c r="D148" s="7">
        <v>1.9</v>
      </c>
      <c r="E148" s="7">
        <v>3.5</v>
      </c>
      <c r="F148" s="7">
        <v>1</v>
      </c>
      <c r="G148" s="7">
        <v>1.3</v>
      </c>
      <c r="H148" s="7">
        <v>1.2</v>
      </c>
      <c r="I148" s="7">
        <v>0.01</v>
      </c>
      <c r="J148" s="7">
        <v>0.01</v>
      </c>
      <c r="K148" s="7">
        <v>1</v>
      </c>
      <c r="L148" s="7">
        <v>1450</v>
      </c>
      <c r="M148" s="7">
        <v>2E-3</v>
      </c>
      <c r="N148" s="7">
        <v>1.5</v>
      </c>
      <c r="O148" s="7">
        <v>14</v>
      </c>
      <c r="P148" s="7">
        <v>1</v>
      </c>
      <c r="Q148" s="7">
        <f>ROUND((Y148/X148),0)</f>
        <v>96</v>
      </c>
      <c r="R148" s="8" t="s">
        <v>27</v>
      </c>
      <c r="S148" s="8">
        <v>2908</v>
      </c>
      <c r="T148" s="7">
        <f>ROUND((D148*E148*F148*K148*N148*L148*I148*J148/3600)+(G148*H148*I148*M148*O148*P148),4)</f>
        <v>8.0000000000000004E-4</v>
      </c>
      <c r="U148" s="7">
        <f>ROUND((((3.6*T148*Q148)/1000)),4)</f>
        <v>2.9999999999999997E-4</v>
      </c>
      <c r="V148" s="25"/>
      <c r="W148" s="25"/>
      <c r="X148" s="5">
        <v>10</v>
      </c>
      <c r="Y148" s="5">
        <f>1600*0.6</f>
        <v>960</v>
      </c>
      <c r="Z148" s="5"/>
      <c r="AA148" s="1"/>
      <c r="AB148" s="2"/>
    </row>
    <row r="149" spans="1:28" ht="24.95" customHeight="1" x14ac:dyDescent="0.25">
      <c r="A149" s="1195"/>
      <c r="B149" s="21" t="s">
        <v>26</v>
      </c>
      <c r="C149" s="1192" t="s">
        <v>1083</v>
      </c>
      <c r="D149" s="7">
        <v>1.3</v>
      </c>
      <c r="E149" s="7">
        <v>3.5</v>
      </c>
      <c r="F149" s="7">
        <v>1</v>
      </c>
      <c r="G149" s="7">
        <v>1.3</v>
      </c>
      <c r="H149" s="7">
        <v>1.2</v>
      </c>
      <c r="I149" s="7">
        <v>0.01</v>
      </c>
      <c r="J149" s="7">
        <v>0.01</v>
      </c>
      <c r="K149" s="7">
        <v>20</v>
      </c>
      <c r="L149" s="7">
        <v>1450</v>
      </c>
      <c r="M149" s="7">
        <v>4.0000000000000001E-3</v>
      </c>
      <c r="N149" s="7">
        <v>1.5</v>
      </c>
      <c r="O149" s="7">
        <v>14</v>
      </c>
      <c r="P149" s="7">
        <v>2</v>
      </c>
      <c r="Q149" s="7">
        <f>ROUND((W149/V149),0)</f>
        <v>135</v>
      </c>
      <c r="R149" s="8" t="s">
        <v>27</v>
      </c>
      <c r="S149" s="8">
        <v>2908</v>
      </c>
      <c r="T149" s="7">
        <f t="shared" ref="T149:T150" si="7">ROUND((D149*E149*F149*K149*N149*L149*I149*J149/3600)+(G149*H149*I149*M149*O149*P149),4)</f>
        <v>7.1999999999999998E-3</v>
      </c>
      <c r="U149" s="7">
        <f t="shared" ref="U149:U150" si="8">ROUND((((3.6*T149*Q149)/1000)),4)</f>
        <v>3.5000000000000001E-3</v>
      </c>
      <c r="V149" s="3">
        <v>10</v>
      </c>
      <c r="W149" s="3">
        <f>(3380)*0.4</f>
        <v>1352</v>
      </c>
      <c r="Z149" s="5"/>
      <c r="AA149" s="1"/>
      <c r="AB149" s="2"/>
    </row>
    <row r="150" spans="1:28" ht="24.95" customHeight="1" x14ac:dyDescent="0.25">
      <c r="A150" s="1196"/>
      <c r="B150" s="21" t="s">
        <v>28</v>
      </c>
      <c r="C150" s="1191"/>
      <c r="D150" s="7">
        <v>1.9</v>
      </c>
      <c r="E150" s="7">
        <v>3.5</v>
      </c>
      <c r="F150" s="7">
        <v>1</v>
      </c>
      <c r="G150" s="7">
        <v>1.3</v>
      </c>
      <c r="H150" s="7">
        <v>1.2</v>
      </c>
      <c r="I150" s="7">
        <v>0.01</v>
      </c>
      <c r="J150" s="7">
        <v>0.01</v>
      </c>
      <c r="K150" s="7">
        <v>14</v>
      </c>
      <c r="L150" s="7">
        <v>1450</v>
      </c>
      <c r="M150" s="7">
        <v>4.0000000000000001E-3</v>
      </c>
      <c r="N150" s="7">
        <v>1.5</v>
      </c>
      <c r="O150" s="7">
        <v>14</v>
      </c>
      <c r="P150" s="7">
        <v>1</v>
      </c>
      <c r="Q150" s="7">
        <f t="shared" ref="Q150" si="9">ROUND((W150/V150),0)</f>
        <v>203</v>
      </c>
      <c r="R150" s="8" t="s">
        <v>27</v>
      </c>
      <c r="S150" s="8">
        <v>2908</v>
      </c>
      <c r="T150" s="7">
        <f t="shared" si="7"/>
        <v>6.4999999999999997E-3</v>
      </c>
      <c r="U150" s="7">
        <f t="shared" si="8"/>
        <v>4.7999999999999996E-3</v>
      </c>
      <c r="V150" s="3">
        <v>10</v>
      </c>
      <c r="W150" s="3">
        <f>(3380)*0.6</f>
        <v>2028</v>
      </c>
      <c r="Y150" s="3">
        <f>W149+W150</f>
        <v>3380</v>
      </c>
      <c r="Z150" s="5"/>
      <c r="AA150" s="1"/>
      <c r="AB150" s="2"/>
    </row>
    <row r="151" spans="1:28" ht="24.95" customHeight="1" x14ac:dyDescent="0.25">
      <c r="A151" s="1266" t="s">
        <v>483</v>
      </c>
      <c r="B151" s="1188"/>
      <c r="C151" s="1188"/>
      <c r="D151" s="1188"/>
      <c r="E151" s="1188"/>
      <c r="F151" s="1188"/>
      <c r="G151" s="1188"/>
      <c r="H151" s="1188"/>
      <c r="I151" s="1188"/>
      <c r="J151" s="1188"/>
      <c r="K151" s="1188"/>
      <c r="L151" s="1188"/>
      <c r="M151" s="1188"/>
      <c r="N151" s="1188"/>
      <c r="O151" s="1188"/>
      <c r="P151" s="1188"/>
      <c r="Q151" s="1189"/>
      <c r="R151" s="194" t="s">
        <v>27</v>
      </c>
      <c r="S151" s="194">
        <v>2908</v>
      </c>
      <c r="T151" s="571">
        <f>MAX(T145,T147,T149)+MAX(T146,T148,T150)</f>
        <v>1.37E-2</v>
      </c>
      <c r="U151" s="571">
        <f>U145+U146+U147+U148+U149+U150</f>
        <v>8.8199999999999997E-3</v>
      </c>
      <c r="V151" s="103"/>
      <c r="W151" s="103"/>
      <c r="X151" s="5"/>
      <c r="Y151" s="5"/>
      <c r="Z151" s="4"/>
      <c r="AA151" s="2"/>
      <c r="AB151" s="2"/>
    </row>
    <row r="152" spans="1:28" x14ac:dyDescent="0.25">
      <c r="A152" s="1171" t="s">
        <v>284</v>
      </c>
      <c r="B152" s="1216"/>
      <c r="C152" s="1216"/>
      <c r="D152" s="1216"/>
      <c r="E152" s="1216"/>
      <c r="F152" s="1216"/>
      <c r="G152" s="1216"/>
      <c r="H152" s="1216"/>
      <c r="I152" s="1216"/>
      <c r="J152" s="1216"/>
      <c r="K152" s="1216"/>
      <c r="L152" s="1216"/>
      <c r="M152" s="1216"/>
      <c r="N152" s="1216"/>
      <c r="O152" s="1216"/>
      <c r="P152" s="1216"/>
      <c r="Q152" s="1216"/>
      <c r="R152" s="1216"/>
      <c r="S152" s="1216"/>
      <c r="T152" s="1216"/>
      <c r="U152" s="1217"/>
      <c r="V152" s="874"/>
      <c r="W152" s="874"/>
      <c r="X152" s="4"/>
      <c r="Y152" s="4"/>
      <c r="Z152" s="4"/>
      <c r="AA152" s="2"/>
    </row>
    <row r="153" spans="1:28" ht="24.95" customHeight="1" x14ac:dyDescent="0.25">
      <c r="A153" s="1193" t="s">
        <v>493</v>
      </c>
      <c r="B153" s="21" t="s">
        <v>26</v>
      </c>
      <c r="C153" s="1192" t="s">
        <v>359</v>
      </c>
      <c r="D153" s="7">
        <v>1.3</v>
      </c>
      <c r="E153" s="7">
        <v>3.5</v>
      </c>
      <c r="F153" s="7">
        <v>1</v>
      </c>
      <c r="G153" s="7">
        <v>1.3</v>
      </c>
      <c r="H153" s="7">
        <v>1.2</v>
      </c>
      <c r="I153" s="7">
        <v>0.01</v>
      </c>
      <c r="J153" s="7">
        <v>0.01</v>
      </c>
      <c r="K153" s="7">
        <v>2</v>
      </c>
      <c r="L153" s="7">
        <v>1450</v>
      </c>
      <c r="M153" s="7">
        <v>2E-3</v>
      </c>
      <c r="N153" s="7">
        <v>1.5</v>
      </c>
      <c r="O153" s="7">
        <v>14</v>
      </c>
      <c r="P153" s="7">
        <v>1</v>
      </c>
      <c r="Q153" s="7">
        <f>ROUND((Y153/X153),0)</f>
        <v>10</v>
      </c>
      <c r="R153" s="8" t="s">
        <v>27</v>
      </c>
      <c r="S153" s="8">
        <v>2908</v>
      </c>
      <c r="T153" s="7">
        <f>ROUND((D153*E153*F153*K153*N153*L153*I153*J153/3600)+(G153*H153*I153*M153*O153*P153),4)</f>
        <v>1E-3</v>
      </c>
      <c r="U153" s="7">
        <f>ROUND((((3.6*T153*Q153)/1000)),5)</f>
        <v>4.0000000000000003E-5</v>
      </c>
      <c r="V153" s="102"/>
      <c r="W153" s="102"/>
      <c r="X153" s="3">
        <v>10</v>
      </c>
      <c r="Y153" s="3">
        <f>244.8*0.4</f>
        <v>97.920000000000016</v>
      </c>
    </row>
    <row r="154" spans="1:28" ht="24.95" customHeight="1" x14ac:dyDescent="0.25">
      <c r="A154" s="1220"/>
      <c r="B154" s="21" t="s">
        <v>28</v>
      </c>
      <c r="C154" s="1191"/>
      <c r="D154" s="7">
        <v>1.9</v>
      </c>
      <c r="E154" s="7">
        <v>3.5</v>
      </c>
      <c r="F154" s="7">
        <v>1</v>
      </c>
      <c r="G154" s="7">
        <v>1.3</v>
      </c>
      <c r="H154" s="7">
        <v>1.2</v>
      </c>
      <c r="I154" s="7">
        <v>0.01</v>
      </c>
      <c r="J154" s="7">
        <v>0.01</v>
      </c>
      <c r="K154" s="7">
        <v>1</v>
      </c>
      <c r="L154" s="7">
        <v>1450</v>
      </c>
      <c r="M154" s="7">
        <v>2E-3</v>
      </c>
      <c r="N154" s="7">
        <v>1.5</v>
      </c>
      <c r="O154" s="7">
        <v>14</v>
      </c>
      <c r="P154" s="7">
        <v>1</v>
      </c>
      <c r="Q154" s="7">
        <f>ROUND((Y154/X154),0)</f>
        <v>15</v>
      </c>
      <c r="R154" s="8" t="s">
        <v>27</v>
      </c>
      <c r="S154" s="8">
        <v>2908</v>
      </c>
      <c r="T154" s="7">
        <f>ROUND((D154*E154*F154*K154*N154*L154*I154*J154/3600)+(G154*H154*I154*M154*O154*P154),4)</f>
        <v>8.0000000000000004E-4</v>
      </c>
      <c r="U154" s="7">
        <f>ROUND((((3.6*T154*Q154)/1000)),5)</f>
        <v>4.0000000000000003E-5</v>
      </c>
      <c r="V154" s="102"/>
      <c r="W154" s="102"/>
      <c r="X154" s="3">
        <v>10</v>
      </c>
      <c r="Y154" s="3">
        <f>244.8*0.6</f>
        <v>146.88</v>
      </c>
    </row>
    <row r="155" spans="1:28" ht="24.95" customHeight="1" x14ac:dyDescent="0.25">
      <c r="A155" s="1220"/>
      <c r="B155" s="21" t="s">
        <v>26</v>
      </c>
      <c r="C155" s="1192" t="s">
        <v>29</v>
      </c>
      <c r="D155" s="7">
        <v>1.3</v>
      </c>
      <c r="E155" s="7">
        <v>3.5</v>
      </c>
      <c r="F155" s="7">
        <v>1</v>
      </c>
      <c r="G155" s="7">
        <v>1.3</v>
      </c>
      <c r="H155" s="7">
        <v>1.2</v>
      </c>
      <c r="I155" s="7">
        <v>0.01</v>
      </c>
      <c r="J155" s="7">
        <v>0.01</v>
      </c>
      <c r="K155" s="7">
        <v>2</v>
      </c>
      <c r="L155" s="7">
        <v>1450</v>
      </c>
      <c r="M155" s="7">
        <v>2E-3</v>
      </c>
      <c r="N155" s="7">
        <v>1.5</v>
      </c>
      <c r="O155" s="7">
        <v>14</v>
      </c>
      <c r="P155" s="7">
        <v>1</v>
      </c>
      <c r="Q155" s="7">
        <f>ROUND((Y155/X155),0)</f>
        <v>10</v>
      </c>
      <c r="R155" s="8" t="s">
        <v>27</v>
      </c>
      <c r="S155" s="8">
        <v>2908</v>
      </c>
      <c r="T155" s="7">
        <f>ROUND((D155*E155*F155*K155*N155*L155*I155*J155/3600)+(G155*H155*I155*M155*O155*P155),4)</f>
        <v>1E-3</v>
      </c>
      <c r="U155" s="7">
        <f>ROUND((((3.6*T155*Q155)/1000)),5)</f>
        <v>4.0000000000000003E-5</v>
      </c>
      <c r="V155" s="102"/>
      <c r="W155" s="25"/>
      <c r="X155" s="5">
        <v>10</v>
      </c>
      <c r="Y155" s="5">
        <f>245.6*0.4</f>
        <v>98.240000000000009</v>
      </c>
      <c r="Z155" s="5"/>
      <c r="AA155" s="1"/>
    </row>
    <row r="156" spans="1:28" ht="24.95" customHeight="1" x14ac:dyDescent="0.25">
      <c r="A156" s="1220"/>
      <c r="B156" s="21" t="s">
        <v>28</v>
      </c>
      <c r="C156" s="1272"/>
      <c r="D156" s="7">
        <v>1.9</v>
      </c>
      <c r="E156" s="7">
        <v>3.5</v>
      </c>
      <c r="F156" s="7">
        <v>1</v>
      </c>
      <c r="G156" s="7">
        <v>1.3</v>
      </c>
      <c r="H156" s="7">
        <v>1.2</v>
      </c>
      <c r="I156" s="7">
        <v>0.01</v>
      </c>
      <c r="J156" s="7">
        <v>0.01</v>
      </c>
      <c r="K156" s="7">
        <v>1</v>
      </c>
      <c r="L156" s="7">
        <v>1450</v>
      </c>
      <c r="M156" s="7">
        <v>2E-3</v>
      </c>
      <c r="N156" s="7">
        <v>1.5</v>
      </c>
      <c r="O156" s="7">
        <v>14</v>
      </c>
      <c r="P156" s="7">
        <v>1</v>
      </c>
      <c r="Q156" s="7">
        <f>ROUND((Y156/X156),0)</f>
        <v>15</v>
      </c>
      <c r="R156" s="8" t="s">
        <v>27</v>
      </c>
      <c r="S156" s="8">
        <v>2908</v>
      </c>
      <c r="T156" s="7">
        <f>ROUND((D156*E156*F156*K156*N156*L156*I156*J156/3600)+(G156*H156*I156*M156*O156*P156),4)</f>
        <v>8.0000000000000004E-4</v>
      </c>
      <c r="U156" s="7">
        <f>ROUND((((3.6*T156*Q156)/1000)),5)</f>
        <v>4.0000000000000003E-5</v>
      </c>
      <c r="V156" s="102"/>
      <c r="W156" s="25"/>
      <c r="X156" s="5">
        <v>10</v>
      </c>
      <c r="Y156" s="5">
        <f>245.6*0.6</f>
        <v>147.35999999999999</v>
      </c>
      <c r="Z156" s="5"/>
      <c r="AA156" s="1"/>
    </row>
    <row r="157" spans="1:28" ht="24.95" customHeight="1" x14ac:dyDescent="0.25">
      <c r="A157" s="1266" t="s">
        <v>494</v>
      </c>
      <c r="B157" s="1188"/>
      <c r="C157" s="1188"/>
      <c r="D157" s="1188"/>
      <c r="E157" s="1188"/>
      <c r="F157" s="1188"/>
      <c r="G157" s="1188"/>
      <c r="H157" s="1188"/>
      <c r="I157" s="1188"/>
      <c r="J157" s="1188"/>
      <c r="K157" s="1188"/>
      <c r="L157" s="1188"/>
      <c r="M157" s="1188"/>
      <c r="N157" s="1188"/>
      <c r="O157" s="1188"/>
      <c r="P157" s="1188"/>
      <c r="Q157" s="1189"/>
      <c r="R157" s="194" t="s">
        <v>27</v>
      </c>
      <c r="S157" s="194">
        <v>2908</v>
      </c>
      <c r="T157" s="571">
        <f>T153+T154+T155+T156</f>
        <v>3.5999999999999999E-3</v>
      </c>
      <c r="U157" s="571">
        <f>U153+U154+U155+U156</f>
        <v>1.6000000000000001E-4</v>
      </c>
      <c r="V157" s="103"/>
      <c r="W157" s="103"/>
      <c r="X157" s="5"/>
      <c r="Y157" s="5"/>
      <c r="Z157" s="5"/>
      <c r="AA157" s="1"/>
    </row>
    <row r="158" spans="1:28" x14ac:dyDescent="0.25">
      <c r="A158" s="1171" t="s">
        <v>288</v>
      </c>
      <c r="B158" s="1216"/>
      <c r="C158" s="1216"/>
      <c r="D158" s="1216"/>
      <c r="E158" s="1216"/>
      <c r="F158" s="1216"/>
      <c r="G158" s="1216"/>
      <c r="H158" s="1216"/>
      <c r="I158" s="1216"/>
      <c r="J158" s="1216"/>
      <c r="K158" s="1216"/>
      <c r="L158" s="1216"/>
      <c r="M158" s="1216"/>
      <c r="N158" s="1216"/>
      <c r="O158" s="1216"/>
      <c r="P158" s="1216"/>
      <c r="Q158" s="1216"/>
      <c r="R158" s="1216"/>
      <c r="S158" s="1216"/>
      <c r="T158" s="1216"/>
      <c r="U158" s="1217"/>
      <c r="V158" s="874"/>
      <c r="W158" s="874"/>
      <c r="X158" s="4"/>
      <c r="Y158" s="4"/>
      <c r="Z158" s="4"/>
      <c r="AA158" s="2"/>
    </row>
    <row r="159" spans="1:28" ht="24.95" customHeight="1" x14ac:dyDescent="0.25">
      <c r="A159" s="184">
        <v>7103</v>
      </c>
      <c r="B159" s="21" t="s">
        <v>28</v>
      </c>
      <c r="C159" s="8" t="s">
        <v>359</v>
      </c>
      <c r="D159" s="7">
        <v>1.9</v>
      </c>
      <c r="E159" s="7">
        <v>3.5</v>
      </c>
      <c r="F159" s="7">
        <v>1</v>
      </c>
      <c r="G159" s="7">
        <v>1.3</v>
      </c>
      <c r="H159" s="7">
        <v>1.2</v>
      </c>
      <c r="I159" s="7">
        <v>0.01</v>
      </c>
      <c r="J159" s="7">
        <v>0.01</v>
      </c>
      <c r="K159" s="7">
        <v>1</v>
      </c>
      <c r="L159" s="7">
        <v>1450</v>
      </c>
      <c r="M159" s="24">
        <v>2E-3</v>
      </c>
      <c r="N159" s="7">
        <v>1.5</v>
      </c>
      <c r="O159" s="7">
        <v>14</v>
      </c>
      <c r="P159" s="7">
        <v>1</v>
      </c>
      <c r="Q159" s="7">
        <f>ROUND((Y159/X159),0)</f>
        <v>8</v>
      </c>
      <c r="R159" s="8" t="s">
        <v>27</v>
      </c>
      <c r="S159" s="8">
        <v>2908</v>
      </c>
      <c r="T159" s="7">
        <f>ROUND((D159*E159*F159*K159*N159*L159*I159*J159/3600)+(G159*H159*I159*M159*O159*P159),4)</f>
        <v>8.0000000000000004E-4</v>
      </c>
      <c r="U159" s="7">
        <f>ROUND((((3.6*T159*Q159)/1000)),5)</f>
        <v>2.0000000000000002E-5</v>
      </c>
      <c r="V159" s="102"/>
      <c r="W159" s="102"/>
      <c r="X159" s="3">
        <v>5</v>
      </c>
      <c r="Y159" s="3">
        <f>39.3</f>
        <v>39.299999999999997</v>
      </c>
      <c r="Z159" s="4"/>
      <c r="AA159" s="2"/>
    </row>
    <row r="160" spans="1:28" x14ac:dyDescent="0.25">
      <c r="A160" s="1171" t="s">
        <v>291</v>
      </c>
      <c r="B160" s="1216"/>
      <c r="C160" s="1216"/>
      <c r="D160" s="1216"/>
      <c r="E160" s="1216"/>
      <c r="F160" s="1216"/>
      <c r="G160" s="1216"/>
      <c r="H160" s="1216"/>
      <c r="I160" s="1216"/>
      <c r="J160" s="1216"/>
      <c r="K160" s="1216"/>
      <c r="L160" s="1216"/>
      <c r="M160" s="1216"/>
      <c r="N160" s="1216"/>
      <c r="O160" s="1216"/>
      <c r="P160" s="1216"/>
      <c r="Q160" s="1216"/>
      <c r="R160" s="1216"/>
      <c r="S160" s="1216"/>
      <c r="T160" s="1216"/>
      <c r="U160" s="1217"/>
      <c r="V160" s="874"/>
      <c r="W160" s="874"/>
      <c r="X160" s="5"/>
      <c r="Y160" s="5"/>
      <c r="Z160" s="5"/>
      <c r="AA160" s="2"/>
    </row>
    <row r="161" spans="1:28" ht="24.95" customHeight="1" x14ac:dyDescent="0.25">
      <c r="A161" s="1193" t="s">
        <v>502</v>
      </c>
      <c r="B161" s="21" t="s">
        <v>26</v>
      </c>
      <c r="C161" s="1192" t="s">
        <v>29</v>
      </c>
      <c r="D161" s="7">
        <v>1.3</v>
      </c>
      <c r="E161" s="7">
        <v>3.5</v>
      </c>
      <c r="F161" s="7">
        <v>1</v>
      </c>
      <c r="G161" s="7">
        <v>1.3</v>
      </c>
      <c r="H161" s="7">
        <v>1.2</v>
      </c>
      <c r="I161" s="7">
        <v>0.01</v>
      </c>
      <c r="J161" s="7">
        <v>0.01</v>
      </c>
      <c r="K161" s="7">
        <v>2</v>
      </c>
      <c r="L161" s="7">
        <v>1450</v>
      </c>
      <c r="M161" s="7">
        <v>2E-3</v>
      </c>
      <c r="N161" s="7">
        <v>1.5</v>
      </c>
      <c r="O161" s="7">
        <v>14</v>
      </c>
      <c r="P161" s="7">
        <v>3</v>
      </c>
      <c r="Q161" s="7">
        <f>ROUND((Y161/X161),0)</f>
        <v>96</v>
      </c>
      <c r="R161" s="8" t="s">
        <v>27</v>
      </c>
      <c r="S161" s="8">
        <v>2908</v>
      </c>
      <c r="T161" s="7">
        <f>ROUND((D161*E161*F161*K161*N161*L161*I161*J161/3600)+(G161*H161*I161*M161*O161*P161),4)</f>
        <v>1.9E-3</v>
      </c>
      <c r="U161" s="7">
        <f>ROUND((((3.6*T161*Q161)/1000)),4)</f>
        <v>6.9999999999999999E-4</v>
      </c>
      <c r="V161" s="102"/>
      <c r="W161" s="102"/>
      <c r="X161" s="3">
        <v>10</v>
      </c>
      <c r="Y161" s="3">
        <f>2395*0.4</f>
        <v>958</v>
      </c>
      <c r="Z161" s="5"/>
      <c r="AA161" s="1"/>
      <c r="AB161" s="1"/>
    </row>
    <row r="162" spans="1:28" ht="24.95" customHeight="1" x14ac:dyDescent="0.25">
      <c r="A162" s="1220"/>
      <c r="B162" s="21" t="s">
        <v>28</v>
      </c>
      <c r="C162" s="1272"/>
      <c r="D162" s="7">
        <v>1.9</v>
      </c>
      <c r="E162" s="7">
        <v>3.5</v>
      </c>
      <c r="F162" s="7">
        <v>1</v>
      </c>
      <c r="G162" s="7">
        <v>1.3</v>
      </c>
      <c r="H162" s="7">
        <v>1.2</v>
      </c>
      <c r="I162" s="7">
        <v>0.01</v>
      </c>
      <c r="J162" s="7">
        <v>0.01</v>
      </c>
      <c r="K162" s="7">
        <v>1</v>
      </c>
      <c r="L162" s="7">
        <v>1450</v>
      </c>
      <c r="M162" s="7">
        <v>2E-3</v>
      </c>
      <c r="N162" s="7">
        <v>1.5</v>
      </c>
      <c r="O162" s="7">
        <v>14</v>
      </c>
      <c r="P162" s="7">
        <v>1</v>
      </c>
      <c r="Q162" s="7">
        <f>ROUND((Y162/X162),0)</f>
        <v>144</v>
      </c>
      <c r="R162" s="8" t="s">
        <v>27</v>
      </c>
      <c r="S162" s="8">
        <v>2908</v>
      </c>
      <c r="T162" s="7">
        <f>ROUND((D162*E162*F162*K162*N162*L162*I162*J162/3600)+(G162*H162*I162*M162*O162*P162),4)</f>
        <v>8.0000000000000004E-4</v>
      </c>
      <c r="U162" s="7">
        <f>ROUND((((3.6*T162*Q162)/1000)),4)</f>
        <v>4.0000000000000002E-4</v>
      </c>
      <c r="V162" s="102"/>
      <c r="W162" s="102"/>
      <c r="X162" s="3">
        <v>10</v>
      </c>
      <c r="Y162" s="3">
        <f>2395*0.6</f>
        <v>1437</v>
      </c>
      <c r="Z162" s="5"/>
      <c r="AA162" s="1"/>
      <c r="AB162" s="1"/>
    </row>
    <row r="163" spans="1:28" ht="24.95" customHeight="1" x14ac:dyDescent="0.25">
      <c r="A163" s="1220"/>
      <c r="B163" s="21" t="s">
        <v>26</v>
      </c>
      <c r="C163" s="1192" t="s">
        <v>359</v>
      </c>
      <c r="D163" s="7">
        <v>1.3</v>
      </c>
      <c r="E163" s="7">
        <v>3.5</v>
      </c>
      <c r="F163" s="7">
        <v>1</v>
      </c>
      <c r="G163" s="7">
        <v>1.3</v>
      </c>
      <c r="H163" s="7">
        <v>1.2</v>
      </c>
      <c r="I163" s="7">
        <v>0.01</v>
      </c>
      <c r="J163" s="7">
        <v>0.01</v>
      </c>
      <c r="K163" s="7">
        <v>4</v>
      </c>
      <c r="L163" s="7">
        <v>1450</v>
      </c>
      <c r="M163" s="7">
        <v>2E-3</v>
      </c>
      <c r="N163" s="7">
        <v>1.5</v>
      </c>
      <c r="O163" s="7">
        <v>14</v>
      </c>
      <c r="P163" s="7">
        <v>4</v>
      </c>
      <c r="Q163" s="7">
        <f>ROUND((Y163/X163),0)</f>
        <v>301</v>
      </c>
      <c r="R163" s="8" t="s">
        <v>27</v>
      </c>
      <c r="S163" s="8">
        <v>2908</v>
      </c>
      <c r="T163" s="7">
        <f>ROUND((D163*E163*F163*K163*N163*L163*I163*J163/3600)+(G163*H163*I163*M163*O163*P163),4)</f>
        <v>2.8E-3</v>
      </c>
      <c r="U163" s="7">
        <f>ROUND((((3.6*T163*Q163)/1000)),5)</f>
        <v>3.0300000000000001E-3</v>
      </c>
      <c r="V163" s="25"/>
      <c r="W163" s="25"/>
      <c r="X163" s="5">
        <v>5</v>
      </c>
      <c r="Y163" s="5">
        <f>3768.1*0.4</f>
        <v>1507.24</v>
      </c>
      <c r="Z163" s="5"/>
      <c r="AA163" s="1"/>
    </row>
    <row r="164" spans="1:28" ht="24.95" customHeight="1" x14ac:dyDescent="0.25">
      <c r="A164" s="1220"/>
      <c r="B164" s="21" t="s">
        <v>28</v>
      </c>
      <c r="C164" s="1191"/>
      <c r="D164" s="7">
        <v>1.9</v>
      </c>
      <c r="E164" s="7">
        <v>3.5</v>
      </c>
      <c r="F164" s="7">
        <v>1</v>
      </c>
      <c r="G164" s="7">
        <v>1.3</v>
      </c>
      <c r="H164" s="7">
        <v>1.2</v>
      </c>
      <c r="I164" s="7">
        <v>0.01</v>
      </c>
      <c r="J164" s="7">
        <v>0.01</v>
      </c>
      <c r="K164" s="7">
        <v>1</v>
      </c>
      <c r="L164" s="7">
        <v>1450</v>
      </c>
      <c r="M164" s="7">
        <v>2E-3</v>
      </c>
      <c r="N164" s="7">
        <v>1.5</v>
      </c>
      <c r="O164" s="7">
        <v>14</v>
      </c>
      <c r="P164" s="7">
        <v>1</v>
      </c>
      <c r="Q164" s="7">
        <f>ROUND((Y164/X164),0)</f>
        <v>226</v>
      </c>
      <c r="R164" s="8" t="s">
        <v>27</v>
      </c>
      <c r="S164" s="8">
        <v>2908</v>
      </c>
      <c r="T164" s="7">
        <f>ROUND((D164*E164*F164*K164*N164*L164*I164*J164/3600)+(G164*H164*I164*M164*O164*P164),4)</f>
        <v>8.0000000000000004E-4</v>
      </c>
      <c r="U164" s="7">
        <f>ROUND((((3.6*T164*Q164)/1000)),5)</f>
        <v>6.4999999999999997E-4</v>
      </c>
      <c r="V164" s="25"/>
      <c r="W164" s="25"/>
      <c r="X164" s="5">
        <v>10</v>
      </c>
      <c r="Y164" s="5">
        <f>3768.1*0.6</f>
        <v>2260.8599999999997</v>
      </c>
      <c r="Z164" s="5"/>
      <c r="AA164" s="1"/>
    </row>
    <row r="165" spans="1:28" ht="24.95" customHeight="1" x14ac:dyDescent="0.25">
      <c r="A165" s="1266" t="s">
        <v>503</v>
      </c>
      <c r="B165" s="1188"/>
      <c r="C165" s="1188"/>
      <c r="D165" s="1188"/>
      <c r="E165" s="1188"/>
      <c r="F165" s="1188"/>
      <c r="G165" s="1188"/>
      <c r="H165" s="1188"/>
      <c r="I165" s="1188"/>
      <c r="J165" s="1188"/>
      <c r="K165" s="1188"/>
      <c r="L165" s="1188"/>
      <c r="M165" s="1188"/>
      <c r="N165" s="1188"/>
      <c r="O165" s="1188"/>
      <c r="P165" s="1188"/>
      <c r="Q165" s="1189"/>
      <c r="R165" s="194" t="s">
        <v>27</v>
      </c>
      <c r="S165" s="194">
        <v>2908</v>
      </c>
      <c r="T165" s="571">
        <f>T161+T163+MAX(T162,T164)</f>
        <v>5.5000000000000005E-3</v>
      </c>
      <c r="U165" s="571">
        <f>U161+U162+U163+U164</f>
        <v>4.7799999999999995E-3</v>
      </c>
      <c r="V165" s="871">
        <f>T101+T105+T109+T113+T117+T121+T127+T131+T139+T143+T151+T157+T159+T165</f>
        <v>5.7100000000000005E-2</v>
      </c>
      <c r="W165" s="871">
        <f>U101+U105+U109+U113+U117+U121+U127+U131+U139+U143+U151+U157+U159+U165</f>
        <v>2.9232999999999999E-2</v>
      </c>
      <c r="X165" s="871">
        <v>2027</v>
      </c>
      <c r="Y165" s="4"/>
      <c r="Z165" s="4"/>
      <c r="AA165" s="2"/>
    </row>
    <row r="166" spans="1:28" ht="15.75" x14ac:dyDescent="0.25">
      <c r="A166" s="1155" t="s">
        <v>60</v>
      </c>
      <c r="B166" s="1156"/>
      <c r="C166" s="1156"/>
      <c r="D166" s="1156"/>
      <c r="E166" s="1156"/>
      <c r="F166" s="1156"/>
      <c r="G166" s="1156"/>
      <c r="H166" s="1156"/>
      <c r="I166" s="1156"/>
      <c r="J166" s="1156"/>
      <c r="K166" s="1156"/>
      <c r="L166" s="1156"/>
      <c r="M166" s="1156"/>
      <c r="N166" s="1156"/>
      <c r="O166" s="1156"/>
      <c r="P166" s="1156"/>
      <c r="Q166" s="1156"/>
      <c r="R166" s="1156"/>
      <c r="S166" s="1156"/>
      <c r="T166" s="1156"/>
      <c r="U166" s="1157"/>
      <c r="V166" s="847"/>
      <c r="W166" s="847"/>
      <c r="X166" s="4"/>
      <c r="Y166" s="4"/>
      <c r="Z166" s="4"/>
      <c r="AA166" s="2"/>
    </row>
    <row r="167" spans="1:28" x14ac:dyDescent="0.25">
      <c r="A167" s="1171" t="s">
        <v>8</v>
      </c>
      <c r="B167" s="1216"/>
      <c r="C167" s="1216"/>
      <c r="D167" s="1216"/>
      <c r="E167" s="1216"/>
      <c r="F167" s="1216"/>
      <c r="G167" s="1216"/>
      <c r="H167" s="1216"/>
      <c r="I167" s="1216"/>
      <c r="J167" s="1216"/>
      <c r="K167" s="1216"/>
      <c r="L167" s="1216"/>
      <c r="M167" s="1216"/>
      <c r="N167" s="1216"/>
      <c r="O167" s="1216"/>
      <c r="P167" s="1216"/>
      <c r="Q167" s="1216"/>
      <c r="R167" s="1216"/>
      <c r="S167" s="1216"/>
      <c r="T167" s="1216"/>
      <c r="U167" s="1217"/>
      <c r="V167" s="874"/>
      <c r="W167" s="874"/>
      <c r="X167" s="4"/>
      <c r="Y167" s="4"/>
      <c r="Z167" s="4"/>
      <c r="AA167" s="2"/>
    </row>
    <row r="168" spans="1:28" ht="24.95" customHeight="1" x14ac:dyDescent="0.25">
      <c r="A168" s="1209">
        <v>7002</v>
      </c>
      <c r="B168" s="21" t="s">
        <v>26</v>
      </c>
      <c r="C168" s="1192" t="s">
        <v>359</v>
      </c>
      <c r="D168" s="7">
        <v>1.3</v>
      </c>
      <c r="E168" s="7">
        <v>3.5</v>
      </c>
      <c r="F168" s="7">
        <v>1</v>
      </c>
      <c r="G168" s="7">
        <v>1.3</v>
      </c>
      <c r="H168" s="7">
        <v>1.2</v>
      </c>
      <c r="I168" s="7">
        <v>0.01</v>
      </c>
      <c r="J168" s="7">
        <v>0.01</v>
      </c>
      <c r="K168" s="7">
        <v>6</v>
      </c>
      <c r="L168" s="7">
        <v>1450</v>
      </c>
      <c r="M168" s="7">
        <v>2E-3</v>
      </c>
      <c r="N168" s="7">
        <v>1.5</v>
      </c>
      <c r="O168" s="7">
        <v>14</v>
      </c>
      <c r="P168" s="7">
        <v>1</v>
      </c>
      <c r="Q168" s="7">
        <f>ROUND((Y168/X168),0)</f>
        <v>1204</v>
      </c>
      <c r="R168" s="8" t="s">
        <v>27</v>
      </c>
      <c r="S168" s="8">
        <v>2908</v>
      </c>
      <c r="T168" s="7">
        <f>ROUND((D168*E168*F168*K168*N168*L168*I168*J168/3600)+(G168*H168*I168*M168*O168*P168),4)</f>
        <v>2.0999999999999999E-3</v>
      </c>
      <c r="U168" s="7">
        <f>ROUND((((3.6*T168*Q168)/1000)),4)</f>
        <v>9.1000000000000004E-3</v>
      </c>
      <c r="V168" s="102"/>
      <c r="W168" s="25"/>
      <c r="X168" s="5">
        <v>45</v>
      </c>
      <c r="Y168" s="5">
        <f>135478*0.4</f>
        <v>54191.200000000004</v>
      </c>
      <c r="Z168" s="5"/>
      <c r="AA168" s="2"/>
    </row>
    <row r="169" spans="1:28" ht="24.95" customHeight="1" x14ac:dyDescent="0.25">
      <c r="A169" s="1195"/>
      <c r="B169" s="21" t="s">
        <v>28</v>
      </c>
      <c r="C169" s="1191"/>
      <c r="D169" s="7">
        <v>1.9</v>
      </c>
      <c r="E169" s="7">
        <v>3.5</v>
      </c>
      <c r="F169" s="7">
        <v>1</v>
      </c>
      <c r="G169" s="7">
        <v>1.3</v>
      </c>
      <c r="H169" s="7">
        <v>1.2</v>
      </c>
      <c r="I169" s="7">
        <v>0.01</v>
      </c>
      <c r="J169" s="7">
        <v>0.01</v>
      </c>
      <c r="K169" s="7">
        <v>4</v>
      </c>
      <c r="L169" s="7">
        <v>1450</v>
      </c>
      <c r="M169" s="7">
        <v>2E-3</v>
      </c>
      <c r="N169" s="7">
        <v>1.5</v>
      </c>
      <c r="O169" s="7">
        <v>14</v>
      </c>
      <c r="P169" s="7">
        <v>1</v>
      </c>
      <c r="Q169" s="7">
        <f>ROUND((Y169/X169),0)</f>
        <v>1355</v>
      </c>
      <c r="R169" s="8" t="s">
        <v>27</v>
      </c>
      <c r="S169" s="8">
        <v>2908</v>
      </c>
      <c r="T169" s="7">
        <f>ROUND((D169*E169*F169*K169*N169*L169*I169*J169/3600)+(G169*H169*I169*M169*O169*P169),4)</f>
        <v>2E-3</v>
      </c>
      <c r="U169" s="7">
        <f>ROUND((((3.6*T169*Q169)/1000)),4)</f>
        <v>9.7999999999999997E-3</v>
      </c>
      <c r="V169" s="102"/>
      <c r="W169" s="25"/>
      <c r="X169" s="5">
        <v>60</v>
      </c>
      <c r="Y169" s="5">
        <f>135478*0.6</f>
        <v>81286.8</v>
      </c>
      <c r="Z169" s="5"/>
      <c r="AA169" s="1"/>
    </row>
    <row r="170" spans="1:28" ht="24.95" customHeight="1" x14ac:dyDescent="0.25">
      <c r="A170" s="1220"/>
      <c r="B170" s="21" t="s">
        <v>26</v>
      </c>
      <c r="C170" s="1192" t="s">
        <v>29</v>
      </c>
      <c r="D170" s="7">
        <v>1.3</v>
      </c>
      <c r="E170" s="7">
        <v>3.5</v>
      </c>
      <c r="F170" s="7">
        <v>1</v>
      </c>
      <c r="G170" s="7">
        <v>1.3</v>
      </c>
      <c r="H170" s="7">
        <v>1.2</v>
      </c>
      <c r="I170" s="7">
        <v>0.01</v>
      </c>
      <c r="J170" s="7">
        <v>0.01</v>
      </c>
      <c r="K170" s="7">
        <v>2</v>
      </c>
      <c r="L170" s="7">
        <v>1450</v>
      </c>
      <c r="M170" s="7">
        <v>2E-3</v>
      </c>
      <c r="N170" s="7">
        <v>1.5</v>
      </c>
      <c r="O170" s="7">
        <v>14</v>
      </c>
      <c r="P170" s="7">
        <v>3</v>
      </c>
      <c r="Q170" s="7">
        <f>ROUND((Y170/X170),0)</f>
        <v>265</v>
      </c>
      <c r="R170" s="8" t="s">
        <v>27</v>
      </c>
      <c r="S170" s="8">
        <v>2908</v>
      </c>
      <c r="T170" s="7">
        <f>ROUND((D170*E170*F170*K170*N170*L170*I170*J170/3600)+(G170*H170*I170*M170*O170*P170),4)</f>
        <v>1.9E-3</v>
      </c>
      <c r="U170" s="7">
        <f>ROUND((((3.6*T170*Q170)/1000)),4)</f>
        <v>1.8E-3</v>
      </c>
      <c r="V170" s="25"/>
      <c r="W170" s="25"/>
      <c r="X170" s="5">
        <v>10</v>
      </c>
      <c r="Y170" s="5">
        <f>6615.1*0.4</f>
        <v>2646.0400000000004</v>
      </c>
      <c r="Z170" s="5"/>
      <c r="AA170" s="1"/>
    </row>
    <row r="171" spans="1:28" ht="24.95" customHeight="1" x14ac:dyDescent="0.25">
      <c r="A171" s="1221"/>
      <c r="B171" s="21" t="s">
        <v>28</v>
      </c>
      <c r="C171" s="1272"/>
      <c r="D171" s="7">
        <v>1.9</v>
      </c>
      <c r="E171" s="7">
        <v>3.5</v>
      </c>
      <c r="F171" s="7">
        <v>1</v>
      </c>
      <c r="G171" s="7">
        <v>1.3</v>
      </c>
      <c r="H171" s="7">
        <v>1.2</v>
      </c>
      <c r="I171" s="7">
        <v>0.01</v>
      </c>
      <c r="J171" s="7">
        <v>0.01</v>
      </c>
      <c r="K171" s="7">
        <v>1</v>
      </c>
      <c r="L171" s="7">
        <v>1450</v>
      </c>
      <c r="M171" s="7">
        <v>2E-3</v>
      </c>
      <c r="N171" s="7">
        <v>1.5</v>
      </c>
      <c r="O171" s="7">
        <v>14</v>
      </c>
      <c r="P171" s="7">
        <v>1</v>
      </c>
      <c r="Q171" s="7">
        <f>ROUND((Y171/X171),0)</f>
        <v>397</v>
      </c>
      <c r="R171" s="8" t="s">
        <v>27</v>
      </c>
      <c r="S171" s="8">
        <v>2908</v>
      </c>
      <c r="T171" s="7">
        <f>ROUND((D171*E171*F171*K171*N171*L171*I171*J171/3600)+(G171*H171*I171*M171*O171*P171),4)</f>
        <v>8.0000000000000004E-4</v>
      </c>
      <c r="U171" s="7">
        <f>ROUND((((3.6*T171*Q171)/1000)),4)</f>
        <v>1.1000000000000001E-3</v>
      </c>
      <c r="V171" s="25"/>
      <c r="W171" s="25"/>
      <c r="X171" s="5">
        <v>10</v>
      </c>
      <c r="Y171" s="5">
        <f>6615.1*0.6</f>
        <v>3969.06</v>
      </c>
      <c r="Z171" s="5"/>
      <c r="AA171" s="1"/>
    </row>
    <row r="172" spans="1:28" ht="24.95" customHeight="1" x14ac:dyDescent="0.25">
      <c r="A172" s="1266" t="s">
        <v>358</v>
      </c>
      <c r="B172" s="1188"/>
      <c r="C172" s="1188"/>
      <c r="D172" s="1188"/>
      <c r="E172" s="1188"/>
      <c r="F172" s="1188"/>
      <c r="G172" s="1188"/>
      <c r="H172" s="1188"/>
      <c r="I172" s="1188"/>
      <c r="J172" s="1188"/>
      <c r="K172" s="1188"/>
      <c r="L172" s="1188"/>
      <c r="M172" s="1188"/>
      <c r="N172" s="1188"/>
      <c r="O172" s="1188"/>
      <c r="P172" s="1188"/>
      <c r="Q172" s="1189"/>
      <c r="R172" s="194" t="s">
        <v>27</v>
      </c>
      <c r="S172" s="194">
        <v>2908</v>
      </c>
      <c r="T172" s="571">
        <f>T168+T169+T170+T171</f>
        <v>6.7999999999999996E-3</v>
      </c>
      <c r="U172" s="571">
        <f>U168+U169+U170+U171</f>
        <v>2.18E-2</v>
      </c>
      <c r="V172" s="103"/>
      <c r="W172" s="856"/>
      <c r="X172" s="4"/>
      <c r="Y172" s="4"/>
      <c r="Z172" s="4"/>
      <c r="AA172" s="2"/>
    </row>
    <row r="173" spans="1:28" x14ac:dyDescent="0.25">
      <c r="A173" s="1171" t="s">
        <v>204</v>
      </c>
      <c r="B173" s="1216"/>
      <c r="C173" s="1216"/>
      <c r="D173" s="1216"/>
      <c r="E173" s="1216"/>
      <c r="F173" s="1216"/>
      <c r="G173" s="1216"/>
      <c r="H173" s="1216"/>
      <c r="I173" s="1216"/>
      <c r="J173" s="1216"/>
      <c r="K173" s="1216"/>
      <c r="L173" s="1216"/>
      <c r="M173" s="1216"/>
      <c r="N173" s="1216"/>
      <c r="O173" s="1216"/>
      <c r="P173" s="1216"/>
      <c r="Q173" s="1216"/>
      <c r="R173" s="1216"/>
      <c r="S173" s="1216"/>
      <c r="T173" s="1216"/>
      <c r="U173" s="1217"/>
      <c r="V173" s="875"/>
      <c r="W173" s="875"/>
      <c r="AA173" s="2"/>
    </row>
    <row r="174" spans="1:28" ht="25.5" x14ac:dyDescent="0.25">
      <c r="A174" s="234" t="s">
        <v>384</v>
      </c>
      <c r="B174" s="21" t="s">
        <v>26</v>
      </c>
      <c r="C174" s="182" t="s">
        <v>207</v>
      </c>
      <c r="D174" s="7">
        <v>1.3</v>
      </c>
      <c r="E174" s="7">
        <v>3.5</v>
      </c>
      <c r="F174" s="7">
        <v>1</v>
      </c>
      <c r="G174" s="7">
        <v>1.3</v>
      </c>
      <c r="H174" s="7">
        <v>1.2</v>
      </c>
      <c r="I174" s="7">
        <v>0.01</v>
      </c>
      <c r="J174" s="7">
        <v>0.01</v>
      </c>
      <c r="K174" s="7">
        <v>2</v>
      </c>
      <c r="L174" s="7">
        <v>1450</v>
      </c>
      <c r="M174" s="7">
        <v>2E-3</v>
      </c>
      <c r="N174" s="7">
        <v>1.5</v>
      </c>
      <c r="O174" s="7">
        <v>14</v>
      </c>
      <c r="P174" s="7">
        <v>1</v>
      </c>
      <c r="Q174" s="7">
        <f>ROUND((Y174/X174),0)</f>
        <v>1</v>
      </c>
      <c r="R174" s="8" t="s">
        <v>27</v>
      </c>
      <c r="S174" s="8">
        <v>2908</v>
      </c>
      <c r="T174" s="7">
        <f>ROUND((D174*E174*F174*K174*N174*L174*I174*J174/3600)+(G174*H174*I174*M174*O174*P174),4)</f>
        <v>1E-3</v>
      </c>
      <c r="U174" s="7">
        <f>ROUND((((3.6*T174*Q174)/1000)),6)</f>
        <v>3.9999999999999998E-6</v>
      </c>
      <c r="V174" s="102"/>
      <c r="W174" s="102"/>
      <c r="X174" s="3">
        <v>10</v>
      </c>
      <c r="Y174" s="3">
        <f>12.5*1</f>
        <v>12.5</v>
      </c>
      <c r="AA174" s="1"/>
    </row>
    <row r="175" spans="1:28" ht="25.5" x14ac:dyDescent="0.25">
      <c r="A175" s="1266" t="s">
        <v>369</v>
      </c>
      <c r="B175" s="1188"/>
      <c r="C175" s="1188"/>
      <c r="D175" s="1188"/>
      <c r="E175" s="1188"/>
      <c r="F175" s="1188"/>
      <c r="G175" s="1188"/>
      <c r="H175" s="1188"/>
      <c r="I175" s="1188"/>
      <c r="J175" s="1188"/>
      <c r="K175" s="1188"/>
      <c r="L175" s="1188"/>
      <c r="M175" s="1188"/>
      <c r="N175" s="1188"/>
      <c r="O175" s="1188"/>
      <c r="P175" s="1188"/>
      <c r="Q175" s="1189"/>
      <c r="R175" s="194" t="s">
        <v>27</v>
      </c>
      <c r="S175" s="194">
        <v>2908</v>
      </c>
      <c r="T175" s="571">
        <f>T174</f>
        <v>1E-3</v>
      </c>
      <c r="U175" s="571">
        <f>U174</f>
        <v>3.9999999999999998E-6</v>
      </c>
      <c r="V175" s="103"/>
      <c r="W175" s="103"/>
      <c r="AA175" s="2"/>
    </row>
    <row r="176" spans="1:28" x14ac:dyDescent="0.25">
      <c r="A176" s="1171" t="s">
        <v>210</v>
      </c>
      <c r="B176" s="1216"/>
      <c r="C176" s="1216"/>
      <c r="D176" s="1216"/>
      <c r="E176" s="1216"/>
      <c r="F176" s="1216"/>
      <c r="G176" s="1216"/>
      <c r="H176" s="1216"/>
      <c r="I176" s="1216"/>
      <c r="J176" s="1216"/>
      <c r="K176" s="1216"/>
      <c r="L176" s="1216"/>
      <c r="M176" s="1216"/>
      <c r="N176" s="1216"/>
      <c r="O176" s="1216"/>
      <c r="P176" s="1216"/>
      <c r="Q176" s="1216"/>
      <c r="R176" s="1216"/>
      <c r="S176" s="1216"/>
      <c r="T176" s="1216"/>
      <c r="U176" s="1217"/>
      <c r="V176" s="875"/>
      <c r="W176" s="875"/>
      <c r="Z176" s="4"/>
      <c r="AA176" s="2"/>
    </row>
    <row r="177" spans="1:28" ht="25.5" x14ac:dyDescent="0.25">
      <c r="A177" s="234" t="s">
        <v>390</v>
      </c>
      <c r="B177" s="21" t="s">
        <v>26</v>
      </c>
      <c r="C177" s="182" t="s">
        <v>207</v>
      </c>
      <c r="D177" s="7">
        <v>1.3</v>
      </c>
      <c r="E177" s="7">
        <v>3.5</v>
      </c>
      <c r="F177" s="7">
        <v>1</v>
      </c>
      <c r="G177" s="7">
        <v>1.3</v>
      </c>
      <c r="H177" s="7">
        <v>1.2</v>
      </c>
      <c r="I177" s="7">
        <v>0.01</v>
      </c>
      <c r="J177" s="7">
        <v>0.01</v>
      </c>
      <c r="K177" s="7">
        <v>1</v>
      </c>
      <c r="L177" s="7">
        <v>1450</v>
      </c>
      <c r="M177" s="7">
        <v>2E-3</v>
      </c>
      <c r="N177" s="7">
        <v>1.5</v>
      </c>
      <c r="O177" s="7">
        <v>14</v>
      </c>
      <c r="P177" s="7">
        <v>1</v>
      </c>
      <c r="Q177" s="7">
        <f>ROUND((Y177/X177),0)</f>
        <v>43</v>
      </c>
      <c r="R177" s="8" t="s">
        <v>27</v>
      </c>
      <c r="S177" s="8">
        <v>2908</v>
      </c>
      <c r="T177" s="7">
        <f>ROUND((D177*E177*F177*K177*N177*L177*I177*J177/3600)+(G177*H177*I177*M177*O177*P177),4)</f>
        <v>6.9999999999999999E-4</v>
      </c>
      <c r="U177" s="7">
        <f>ROUND((((3.6*T177*Q177)/1000)),6)</f>
        <v>1.08E-4</v>
      </c>
      <c r="V177" s="102"/>
      <c r="W177" s="102"/>
      <c r="X177" s="3">
        <v>10</v>
      </c>
      <c r="Y177" s="3">
        <f>428.1*1</f>
        <v>428.1</v>
      </c>
      <c r="Z177" s="5"/>
      <c r="AA177" s="2"/>
    </row>
    <row r="178" spans="1:28" ht="25.5" x14ac:dyDescent="0.25">
      <c r="A178" s="1266" t="s">
        <v>371</v>
      </c>
      <c r="B178" s="1188"/>
      <c r="C178" s="1188"/>
      <c r="D178" s="1188"/>
      <c r="E178" s="1188"/>
      <c r="F178" s="1188"/>
      <c r="G178" s="1188"/>
      <c r="H178" s="1188"/>
      <c r="I178" s="1188"/>
      <c r="J178" s="1188"/>
      <c r="K178" s="1188"/>
      <c r="L178" s="1188"/>
      <c r="M178" s="1188"/>
      <c r="N178" s="1188"/>
      <c r="O178" s="1188"/>
      <c r="P178" s="1188"/>
      <c r="Q178" s="1189"/>
      <c r="R178" s="194" t="s">
        <v>27</v>
      </c>
      <c r="S178" s="194">
        <v>2908</v>
      </c>
      <c r="T178" s="571">
        <f>T177</f>
        <v>6.9999999999999999E-4</v>
      </c>
      <c r="U178" s="571">
        <f>U177</f>
        <v>1.08E-4</v>
      </c>
      <c r="V178" s="103"/>
      <c r="W178" s="103"/>
      <c r="Z178" s="5"/>
      <c r="AA178" s="2"/>
    </row>
    <row r="179" spans="1:28" x14ac:dyDescent="0.25">
      <c r="A179" s="1171" t="s">
        <v>213</v>
      </c>
      <c r="B179" s="1216"/>
      <c r="C179" s="1216"/>
      <c r="D179" s="1216"/>
      <c r="E179" s="1216"/>
      <c r="F179" s="1216"/>
      <c r="G179" s="1216"/>
      <c r="H179" s="1216"/>
      <c r="I179" s="1216"/>
      <c r="J179" s="1216"/>
      <c r="K179" s="1216"/>
      <c r="L179" s="1216"/>
      <c r="M179" s="1216"/>
      <c r="N179" s="1216"/>
      <c r="O179" s="1216"/>
      <c r="P179" s="1216"/>
      <c r="Q179" s="1216"/>
      <c r="R179" s="1216"/>
      <c r="S179" s="1216"/>
      <c r="T179" s="1216"/>
      <c r="U179" s="1217"/>
      <c r="V179" s="875"/>
      <c r="W179" s="875"/>
    </row>
    <row r="180" spans="1:28" ht="24.95" customHeight="1" x14ac:dyDescent="0.25">
      <c r="A180" s="1193" t="s">
        <v>396</v>
      </c>
      <c r="B180" s="21" t="s">
        <v>26</v>
      </c>
      <c r="C180" s="1278" t="s">
        <v>207</v>
      </c>
      <c r="D180" s="7">
        <v>1.3</v>
      </c>
      <c r="E180" s="7">
        <v>3.5</v>
      </c>
      <c r="F180" s="7">
        <v>1</v>
      </c>
      <c r="G180" s="7">
        <v>1.3</v>
      </c>
      <c r="H180" s="7">
        <v>1.2</v>
      </c>
      <c r="I180" s="7">
        <v>0.01</v>
      </c>
      <c r="J180" s="7">
        <v>0.01</v>
      </c>
      <c r="K180" s="7">
        <v>3</v>
      </c>
      <c r="L180" s="7">
        <v>1450</v>
      </c>
      <c r="M180" s="7">
        <v>2E-3</v>
      </c>
      <c r="N180" s="7">
        <v>1.5</v>
      </c>
      <c r="O180" s="7">
        <v>14</v>
      </c>
      <c r="P180" s="7">
        <v>1</v>
      </c>
      <c r="Q180" s="7">
        <f>ROUND((Y180/X180),0)</f>
        <v>65</v>
      </c>
      <c r="R180" s="8" t="s">
        <v>27</v>
      </c>
      <c r="S180" s="8">
        <v>2908</v>
      </c>
      <c r="T180" s="7">
        <f>ROUND((D180*E180*F180*K180*N180*L180*I180*J180/3600)+(G180*H180*I180*M180*O180*P180),4)</f>
        <v>1.2999999999999999E-3</v>
      </c>
      <c r="U180" s="7">
        <f>ROUND((((3.6*T180*Q180)/1000)),4)</f>
        <v>2.9999999999999997E-4</v>
      </c>
      <c r="V180" s="102"/>
      <c r="W180" s="102"/>
      <c r="X180" s="3">
        <v>10</v>
      </c>
      <c r="Y180" s="3">
        <f>1626.7*0.4</f>
        <v>650.68000000000006</v>
      </c>
    </row>
    <row r="181" spans="1:28" ht="24.95" customHeight="1" x14ac:dyDescent="0.25">
      <c r="A181" s="1221"/>
      <c r="B181" s="21" t="s">
        <v>28</v>
      </c>
      <c r="C181" s="1279"/>
      <c r="D181" s="7">
        <v>1.9</v>
      </c>
      <c r="E181" s="7">
        <v>3.5</v>
      </c>
      <c r="F181" s="7">
        <v>1</v>
      </c>
      <c r="G181" s="7">
        <v>1.3</v>
      </c>
      <c r="H181" s="7">
        <v>1.2</v>
      </c>
      <c r="I181" s="7">
        <v>0.01</v>
      </c>
      <c r="J181" s="7">
        <v>0.01</v>
      </c>
      <c r="K181" s="7">
        <v>1</v>
      </c>
      <c r="L181" s="7">
        <v>1450</v>
      </c>
      <c r="M181" s="7">
        <v>2E-3</v>
      </c>
      <c r="N181" s="7">
        <v>1.5</v>
      </c>
      <c r="O181" s="7">
        <v>14</v>
      </c>
      <c r="P181" s="7">
        <v>1</v>
      </c>
      <c r="Q181" s="7">
        <f>ROUND((Y181/X181),0)</f>
        <v>98</v>
      </c>
      <c r="R181" s="8" t="s">
        <v>27</v>
      </c>
      <c r="S181" s="8">
        <v>2908</v>
      </c>
      <c r="T181" s="7">
        <f>ROUND((D181*E181*F181*K181*N181*L181*I181*J181/3600)+(G181*H181*I181*M181*O181*P181),4)</f>
        <v>8.0000000000000004E-4</v>
      </c>
      <c r="U181" s="7">
        <f>ROUND((((3.6*T181*Q181)/1000)),4)</f>
        <v>2.9999999999999997E-4</v>
      </c>
      <c r="V181" s="102"/>
      <c r="W181" s="102"/>
      <c r="X181" s="3">
        <v>10</v>
      </c>
      <c r="Y181" s="3">
        <f>1626.7*0.6</f>
        <v>976.02</v>
      </c>
    </row>
    <row r="182" spans="1:28" ht="24.95" customHeight="1" x14ac:dyDescent="0.25">
      <c r="A182" s="1266" t="s">
        <v>397</v>
      </c>
      <c r="B182" s="1188"/>
      <c r="C182" s="1188"/>
      <c r="D182" s="1188"/>
      <c r="E182" s="1188"/>
      <c r="F182" s="1188"/>
      <c r="G182" s="1188"/>
      <c r="H182" s="1188"/>
      <c r="I182" s="1188"/>
      <c r="J182" s="1188"/>
      <c r="K182" s="1188"/>
      <c r="L182" s="1188"/>
      <c r="M182" s="1188"/>
      <c r="N182" s="1188"/>
      <c r="O182" s="1188"/>
      <c r="P182" s="1188"/>
      <c r="Q182" s="1189"/>
      <c r="R182" s="194" t="s">
        <v>27</v>
      </c>
      <c r="S182" s="194">
        <v>2908</v>
      </c>
      <c r="T182" s="571">
        <f>T180</f>
        <v>1.2999999999999999E-3</v>
      </c>
      <c r="U182" s="571">
        <f>U180</f>
        <v>2.9999999999999997E-4</v>
      </c>
      <c r="V182" s="103"/>
      <c r="W182" s="103"/>
    </row>
    <row r="183" spans="1:28" x14ac:dyDescent="0.25">
      <c r="A183" s="1171" t="s">
        <v>233</v>
      </c>
      <c r="B183" s="1216"/>
      <c r="C183" s="1216"/>
      <c r="D183" s="1216"/>
      <c r="E183" s="1216"/>
      <c r="F183" s="1216"/>
      <c r="G183" s="1216"/>
      <c r="H183" s="1216"/>
      <c r="I183" s="1216"/>
      <c r="J183" s="1216"/>
      <c r="K183" s="1216"/>
      <c r="L183" s="1216"/>
      <c r="M183" s="1216"/>
      <c r="N183" s="1216"/>
      <c r="O183" s="1216"/>
      <c r="P183" s="1216"/>
      <c r="Q183" s="1216"/>
      <c r="R183" s="1216"/>
      <c r="S183" s="1216"/>
      <c r="T183" s="1216"/>
      <c r="U183" s="1217"/>
      <c r="V183" s="874"/>
      <c r="W183" s="874"/>
      <c r="X183" s="4"/>
      <c r="Y183" s="4"/>
      <c r="Z183" s="4"/>
      <c r="AA183" s="2"/>
    </row>
    <row r="184" spans="1:28" ht="24.95" customHeight="1" x14ac:dyDescent="0.25">
      <c r="A184" s="1193" t="s">
        <v>411</v>
      </c>
      <c r="B184" s="21" t="s">
        <v>26</v>
      </c>
      <c r="C184" s="1192" t="s">
        <v>359</v>
      </c>
      <c r="D184" s="7">
        <v>1.3</v>
      </c>
      <c r="E184" s="7">
        <v>3.5</v>
      </c>
      <c r="F184" s="7">
        <v>1</v>
      </c>
      <c r="G184" s="7">
        <v>1.3</v>
      </c>
      <c r="H184" s="7">
        <v>1.2</v>
      </c>
      <c r="I184" s="7">
        <v>0.01</v>
      </c>
      <c r="J184" s="7">
        <v>0.01</v>
      </c>
      <c r="K184" s="7">
        <v>1</v>
      </c>
      <c r="L184" s="7">
        <v>1450</v>
      </c>
      <c r="M184" s="7">
        <v>2E-3</v>
      </c>
      <c r="N184" s="7">
        <v>1.5</v>
      </c>
      <c r="O184" s="7">
        <v>14</v>
      </c>
      <c r="P184" s="7">
        <v>1</v>
      </c>
      <c r="Q184" s="7">
        <f>ROUND((Y184/X184),0)</f>
        <v>23</v>
      </c>
      <c r="R184" s="8" t="s">
        <v>27</v>
      </c>
      <c r="S184" s="8">
        <v>2908</v>
      </c>
      <c r="T184" s="7">
        <f>ROUND((D184*E184*F184*K184*N184*L184*I184*J184/3600)+(G184*H184*I184*M184*O184*P184),4)</f>
        <v>6.9999999999999999E-4</v>
      </c>
      <c r="U184" s="7">
        <f>ROUND((((3.6*T184*Q184)/1000)),4)</f>
        <v>1E-4</v>
      </c>
      <c r="V184" s="25"/>
      <c r="W184" s="25"/>
      <c r="X184" s="5">
        <v>5</v>
      </c>
      <c r="Y184" s="5">
        <f>288.2*0.4</f>
        <v>115.28</v>
      </c>
      <c r="Z184" s="5"/>
      <c r="AA184" s="1"/>
      <c r="AB184" s="1"/>
    </row>
    <row r="185" spans="1:28" ht="24.95" customHeight="1" x14ac:dyDescent="0.25">
      <c r="A185" s="1220"/>
      <c r="B185" s="21" t="s">
        <v>28</v>
      </c>
      <c r="C185" s="1191"/>
      <c r="D185" s="7">
        <v>1.9</v>
      </c>
      <c r="E185" s="7">
        <v>3.5</v>
      </c>
      <c r="F185" s="7">
        <v>1</v>
      </c>
      <c r="G185" s="7">
        <v>1.3</v>
      </c>
      <c r="H185" s="7">
        <v>1.2</v>
      </c>
      <c r="I185" s="7">
        <v>0.01</v>
      </c>
      <c r="J185" s="7">
        <v>0.01</v>
      </c>
      <c r="K185" s="7">
        <v>1</v>
      </c>
      <c r="L185" s="7">
        <v>1450</v>
      </c>
      <c r="M185" s="7">
        <v>2E-3</v>
      </c>
      <c r="N185" s="7">
        <v>1.5</v>
      </c>
      <c r="O185" s="7">
        <v>14</v>
      </c>
      <c r="P185" s="7">
        <v>1</v>
      </c>
      <c r="Q185" s="7">
        <f>ROUND((Y185/X185),0)</f>
        <v>35</v>
      </c>
      <c r="R185" s="8" t="s">
        <v>27</v>
      </c>
      <c r="S185" s="8">
        <v>2908</v>
      </c>
      <c r="T185" s="7">
        <f>ROUND((D185*E185*F185*K185*N185*L185*I185*J185/3600)+(G185*H185*I185*M185*O185*P185),4)</f>
        <v>8.0000000000000004E-4</v>
      </c>
      <c r="U185" s="7">
        <f>ROUND((((3.6*T185*Q185)/1000)),4)</f>
        <v>1E-4</v>
      </c>
      <c r="V185" s="25"/>
      <c r="W185" s="25"/>
      <c r="X185" s="5">
        <v>5</v>
      </c>
      <c r="Y185" s="5">
        <f>288.2*0.6</f>
        <v>172.92</v>
      </c>
      <c r="Z185" s="5"/>
      <c r="AA185" s="1"/>
      <c r="AB185" s="1"/>
    </row>
    <row r="186" spans="1:28" ht="24.95" customHeight="1" x14ac:dyDescent="0.25">
      <c r="A186" s="1266" t="s">
        <v>412</v>
      </c>
      <c r="B186" s="1188"/>
      <c r="C186" s="1188"/>
      <c r="D186" s="1188"/>
      <c r="E186" s="1188"/>
      <c r="F186" s="1188"/>
      <c r="G186" s="1188"/>
      <c r="H186" s="1188"/>
      <c r="I186" s="1188"/>
      <c r="J186" s="1188"/>
      <c r="K186" s="1188"/>
      <c r="L186" s="1188"/>
      <c r="M186" s="1188"/>
      <c r="N186" s="1188"/>
      <c r="O186" s="1188"/>
      <c r="P186" s="1188"/>
      <c r="Q186" s="1189"/>
      <c r="R186" s="194" t="s">
        <v>27</v>
      </c>
      <c r="S186" s="194">
        <v>2908</v>
      </c>
      <c r="T186" s="571">
        <f>T184+T185</f>
        <v>1.5E-3</v>
      </c>
      <c r="U186" s="571">
        <f>U184+U185</f>
        <v>2.0000000000000001E-4</v>
      </c>
      <c r="V186" s="856"/>
      <c r="W186" s="856"/>
      <c r="X186" s="5"/>
      <c r="Y186" s="5"/>
      <c r="Z186" s="5"/>
      <c r="AA186" s="1"/>
    </row>
    <row r="187" spans="1:28" ht="15" customHeight="1" x14ac:dyDescent="0.25">
      <c r="A187" s="1178" t="s">
        <v>241</v>
      </c>
      <c r="B187" s="1269"/>
      <c r="C187" s="1269"/>
      <c r="D187" s="1269"/>
      <c r="E187" s="1269"/>
      <c r="F187" s="1269"/>
      <c r="G187" s="1269"/>
      <c r="H187" s="1269"/>
      <c r="I187" s="1269"/>
      <c r="J187" s="1269"/>
      <c r="K187" s="1269"/>
      <c r="L187" s="1269"/>
      <c r="M187" s="1269"/>
      <c r="N187" s="1269"/>
      <c r="O187" s="1269"/>
      <c r="P187" s="1269"/>
      <c r="Q187" s="1269"/>
      <c r="R187" s="1269"/>
      <c r="S187" s="1269"/>
      <c r="T187" s="1269"/>
      <c r="U187" s="1270"/>
      <c r="V187" s="874"/>
      <c r="W187" s="874"/>
      <c r="X187" s="4"/>
      <c r="Y187" s="4"/>
      <c r="Z187" s="4"/>
      <c r="AA187" s="2"/>
    </row>
    <row r="188" spans="1:28" ht="24.95" customHeight="1" x14ac:dyDescent="0.25">
      <c r="A188" s="1273" t="s">
        <v>419</v>
      </c>
      <c r="B188" s="327" t="s">
        <v>26</v>
      </c>
      <c r="C188" s="1185" t="s">
        <v>359</v>
      </c>
      <c r="D188" s="311">
        <v>1.3</v>
      </c>
      <c r="E188" s="311">
        <v>3.5</v>
      </c>
      <c r="F188" s="311">
        <v>1</v>
      </c>
      <c r="G188" s="311">
        <v>1.3</v>
      </c>
      <c r="H188" s="311">
        <v>1.2</v>
      </c>
      <c r="I188" s="311">
        <v>0.01</v>
      </c>
      <c r="J188" s="311">
        <v>0.01</v>
      </c>
      <c r="K188" s="311">
        <v>1</v>
      </c>
      <c r="L188" s="311">
        <v>1450</v>
      </c>
      <c r="M188" s="311">
        <v>2E-3</v>
      </c>
      <c r="N188" s="311">
        <v>1.5</v>
      </c>
      <c r="O188" s="311">
        <v>14</v>
      </c>
      <c r="P188" s="311">
        <v>1</v>
      </c>
      <c r="Q188" s="311">
        <f>ROUND((Y188/X188),0)</f>
        <v>266</v>
      </c>
      <c r="R188" s="312" t="s">
        <v>27</v>
      </c>
      <c r="S188" s="312">
        <v>2908</v>
      </c>
      <c r="T188" s="311">
        <f>ROUND((D188*E188*F188*K188*N188*L188*I188*J188/3600)+(G188*H188*I188*M188*O188*P188),4)</f>
        <v>6.9999999999999999E-4</v>
      </c>
      <c r="U188" s="311">
        <f>ROUND((((3.6*T188*Q188)/1000)),4)</f>
        <v>6.9999999999999999E-4</v>
      </c>
      <c r="V188" s="25"/>
      <c r="W188" s="25"/>
      <c r="X188" s="5">
        <v>10</v>
      </c>
      <c r="Y188" s="5">
        <f>6641.6*0.4</f>
        <v>2656.6400000000003</v>
      </c>
      <c r="Z188" s="5"/>
      <c r="AA188" s="1"/>
    </row>
    <row r="189" spans="1:28" ht="24.95" customHeight="1" x14ac:dyDescent="0.25">
      <c r="A189" s="1274"/>
      <c r="B189" s="327" t="s">
        <v>28</v>
      </c>
      <c r="C189" s="1184"/>
      <c r="D189" s="311">
        <v>1.9</v>
      </c>
      <c r="E189" s="311">
        <v>3.5</v>
      </c>
      <c r="F189" s="311">
        <v>1</v>
      </c>
      <c r="G189" s="311">
        <v>1.3</v>
      </c>
      <c r="H189" s="311">
        <v>1.2</v>
      </c>
      <c r="I189" s="311">
        <v>0.01</v>
      </c>
      <c r="J189" s="311">
        <v>0.01</v>
      </c>
      <c r="K189" s="311">
        <v>1</v>
      </c>
      <c r="L189" s="311">
        <v>1450</v>
      </c>
      <c r="M189" s="311">
        <v>2E-3</v>
      </c>
      <c r="N189" s="311">
        <v>1.5</v>
      </c>
      <c r="O189" s="311">
        <v>14</v>
      </c>
      <c r="P189" s="311">
        <v>1</v>
      </c>
      <c r="Q189" s="311">
        <f>ROUND((Y189/X189),0)</f>
        <v>266</v>
      </c>
      <c r="R189" s="312" t="s">
        <v>27</v>
      </c>
      <c r="S189" s="312">
        <v>2908</v>
      </c>
      <c r="T189" s="311">
        <f>ROUND((D189*E189*F189*K189*N189*L189*I189*J189/3600)+(G189*H189*I189*M189*O189*P189),4)</f>
        <v>8.0000000000000004E-4</v>
      </c>
      <c r="U189" s="311">
        <f>ROUND((((3.6*T189*Q189)/1000)),4)</f>
        <v>8.0000000000000004E-4</v>
      </c>
      <c r="V189" s="25"/>
      <c r="W189" s="25"/>
      <c r="X189" s="5">
        <v>15</v>
      </c>
      <c r="Y189" s="5">
        <f>6641.6*0.6</f>
        <v>3984.96</v>
      </c>
      <c r="Z189" s="5"/>
      <c r="AA189" s="1"/>
    </row>
    <row r="190" spans="1:28" ht="24.95" customHeight="1" x14ac:dyDescent="0.25">
      <c r="A190" s="1277" t="s">
        <v>420</v>
      </c>
      <c r="B190" s="1186"/>
      <c r="C190" s="1186"/>
      <c r="D190" s="1186"/>
      <c r="E190" s="1186"/>
      <c r="F190" s="1186"/>
      <c r="G190" s="1186"/>
      <c r="H190" s="1186"/>
      <c r="I190" s="1186"/>
      <c r="J190" s="1186"/>
      <c r="K190" s="1186"/>
      <c r="L190" s="1186"/>
      <c r="M190" s="1186"/>
      <c r="N190" s="1186"/>
      <c r="O190" s="1186"/>
      <c r="P190" s="1186"/>
      <c r="Q190" s="1187"/>
      <c r="R190" s="313" t="s">
        <v>27</v>
      </c>
      <c r="S190" s="313">
        <v>2908</v>
      </c>
      <c r="T190" s="572">
        <f>T189+T188</f>
        <v>1.5E-3</v>
      </c>
      <c r="U190" s="572">
        <f>U189+U188</f>
        <v>1.5E-3</v>
      </c>
      <c r="V190" s="856"/>
      <c r="W190" s="856"/>
      <c r="X190" s="5"/>
      <c r="Y190" s="5"/>
      <c r="Z190" s="5"/>
      <c r="AA190" s="1"/>
    </row>
    <row r="191" spans="1:28" x14ac:dyDescent="0.25">
      <c r="A191" s="1171" t="s">
        <v>255</v>
      </c>
      <c r="B191" s="1216"/>
      <c r="C191" s="1216"/>
      <c r="D191" s="1216"/>
      <c r="E191" s="1216"/>
      <c r="F191" s="1216"/>
      <c r="G191" s="1216"/>
      <c r="H191" s="1216"/>
      <c r="I191" s="1216"/>
      <c r="J191" s="1216"/>
      <c r="K191" s="1216"/>
      <c r="L191" s="1216"/>
      <c r="M191" s="1216"/>
      <c r="N191" s="1216"/>
      <c r="O191" s="1216"/>
      <c r="P191" s="1216"/>
      <c r="Q191" s="1216"/>
      <c r="R191" s="1216"/>
      <c r="S191" s="1216"/>
      <c r="T191" s="1216"/>
      <c r="U191" s="1217"/>
      <c r="V191" s="874"/>
      <c r="W191" s="874"/>
      <c r="X191" s="4"/>
      <c r="Y191" s="4"/>
      <c r="Z191" s="4"/>
      <c r="AA191" s="2"/>
    </row>
    <row r="192" spans="1:28" ht="24.95" customHeight="1" x14ac:dyDescent="0.25">
      <c r="A192" s="1193" t="s">
        <v>439</v>
      </c>
      <c r="B192" s="21" t="s">
        <v>26</v>
      </c>
      <c r="C192" s="1192" t="s">
        <v>10</v>
      </c>
      <c r="D192" s="7">
        <v>1.3</v>
      </c>
      <c r="E192" s="7">
        <v>3.5</v>
      </c>
      <c r="F192" s="7">
        <v>1</v>
      </c>
      <c r="G192" s="7">
        <v>1.3</v>
      </c>
      <c r="H192" s="7">
        <v>1.2</v>
      </c>
      <c r="I192" s="7">
        <v>0.01</v>
      </c>
      <c r="J192" s="7">
        <v>0.01</v>
      </c>
      <c r="K192" s="7">
        <v>3</v>
      </c>
      <c r="L192" s="7">
        <v>1450</v>
      </c>
      <c r="M192" s="7">
        <v>2E-3</v>
      </c>
      <c r="N192" s="7">
        <v>1.5</v>
      </c>
      <c r="O192" s="7">
        <v>14</v>
      </c>
      <c r="P192" s="7">
        <v>1</v>
      </c>
      <c r="Q192" s="7">
        <f t="shared" ref="Q192:Q197" si="10">ROUND((Y192/X192),0)</f>
        <v>51</v>
      </c>
      <c r="R192" s="8" t="s">
        <v>27</v>
      </c>
      <c r="S192" s="8">
        <v>2908</v>
      </c>
      <c r="T192" s="7">
        <f t="shared" ref="T192:T197" si="11">ROUND((D192*E192*F192*K192*N192*L192*I192*J192/3600)+(G192*H192*I192*M192*O192*P192),4)</f>
        <v>1.2999999999999999E-3</v>
      </c>
      <c r="U192" s="7">
        <f t="shared" ref="U192:U197" si="12">ROUND((((3.6*T192*Q192)/1000)),4)</f>
        <v>2.0000000000000001E-4</v>
      </c>
      <c r="V192" s="102"/>
      <c r="W192" s="102"/>
      <c r="X192" s="3">
        <v>20</v>
      </c>
      <c r="Y192" s="3">
        <f>2537*0.4</f>
        <v>1014.8000000000001</v>
      </c>
      <c r="Z192" s="5"/>
      <c r="AA192" s="1"/>
    </row>
    <row r="193" spans="1:28" ht="24.95" customHeight="1" x14ac:dyDescent="0.25">
      <c r="A193" s="1220"/>
      <c r="B193" s="21" t="s">
        <v>28</v>
      </c>
      <c r="C193" s="1272"/>
      <c r="D193" s="7">
        <v>1.9</v>
      </c>
      <c r="E193" s="7">
        <v>3.5</v>
      </c>
      <c r="F193" s="7">
        <v>1</v>
      </c>
      <c r="G193" s="7">
        <v>1.3</v>
      </c>
      <c r="H193" s="7">
        <v>1.2</v>
      </c>
      <c r="I193" s="7">
        <v>0.01</v>
      </c>
      <c r="J193" s="7">
        <v>0.01</v>
      </c>
      <c r="K193" s="7">
        <v>2</v>
      </c>
      <c r="L193" s="7">
        <v>1450</v>
      </c>
      <c r="M193" s="7">
        <v>2E-3</v>
      </c>
      <c r="N193" s="7">
        <v>1.5</v>
      </c>
      <c r="O193" s="7">
        <v>14</v>
      </c>
      <c r="P193" s="7">
        <v>1</v>
      </c>
      <c r="Q193" s="7">
        <f t="shared" si="10"/>
        <v>76</v>
      </c>
      <c r="R193" s="8" t="s">
        <v>27</v>
      </c>
      <c r="S193" s="8">
        <v>2908</v>
      </c>
      <c r="T193" s="7">
        <f t="shared" si="11"/>
        <v>1.1999999999999999E-3</v>
      </c>
      <c r="U193" s="7">
        <f t="shared" si="12"/>
        <v>2.9999999999999997E-4</v>
      </c>
      <c r="V193" s="102"/>
      <c r="W193" s="102"/>
      <c r="X193" s="3">
        <v>20</v>
      </c>
      <c r="Y193" s="3">
        <f>2537*0.6</f>
        <v>1522.2</v>
      </c>
      <c r="Z193" s="5"/>
      <c r="AA193" s="1"/>
    </row>
    <row r="194" spans="1:28" ht="24.95" customHeight="1" x14ac:dyDescent="0.25">
      <c r="A194" s="1220"/>
      <c r="B194" s="21" t="s">
        <v>26</v>
      </c>
      <c r="C194" s="1192" t="s">
        <v>359</v>
      </c>
      <c r="D194" s="7">
        <v>1.3</v>
      </c>
      <c r="E194" s="7">
        <v>3.5</v>
      </c>
      <c r="F194" s="7">
        <v>1</v>
      </c>
      <c r="G194" s="7">
        <v>1.3</v>
      </c>
      <c r="H194" s="7">
        <v>1.2</v>
      </c>
      <c r="I194" s="7">
        <v>0.01</v>
      </c>
      <c r="J194" s="7">
        <v>0.01</v>
      </c>
      <c r="K194" s="7">
        <v>3</v>
      </c>
      <c r="L194" s="7">
        <v>1450</v>
      </c>
      <c r="M194" s="7">
        <v>2E-3</v>
      </c>
      <c r="N194" s="7">
        <v>1.5</v>
      </c>
      <c r="O194" s="7">
        <v>14</v>
      </c>
      <c r="P194" s="7">
        <v>1</v>
      </c>
      <c r="Q194" s="7">
        <f t="shared" si="10"/>
        <v>80</v>
      </c>
      <c r="R194" s="8" t="s">
        <v>27</v>
      </c>
      <c r="S194" s="8">
        <v>2908</v>
      </c>
      <c r="T194" s="7">
        <f t="shared" si="11"/>
        <v>1.2999999999999999E-3</v>
      </c>
      <c r="U194" s="7">
        <f t="shared" si="12"/>
        <v>4.0000000000000002E-4</v>
      </c>
      <c r="V194" s="102"/>
      <c r="W194" s="102"/>
      <c r="X194" s="3">
        <v>20</v>
      </c>
      <c r="Y194" s="3">
        <f>4004.3*0.4</f>
        <v>1601.7200000000003</v>
      </c>
    </row>
    <row r="195" spans="1:28" ht="24.95" customHeight="1" x14ac:dyDescent="0.25">
      <c r="A195" s="1220"/>
      <c r="B195" s="21" t="s">
        <v>28</v>
      </c>
      <c r="C195" s="1191"/>
      <c r="D195" s="7">
        <v>1.9</v>
      </c>
      <c r="E195" s="7">
        <v>3.5</v>
      </c>
      <c r="F195" s="7">
        <v>1</v>
      </c>
      <c r="G195" s="7">
        <v>1.3</v>
      </c>
      <c r="H195" s="7">
        <v>1.2</v>
      </c>
      <c r="I195" s="7">
        <v>0.01</v>
      </c>
      <c r="J195" s="7">
        <v>0.01</v>
      </c>
      <c r="K195" s="7">
        <v>3</v>
      </c>
      <c r="L195" s="7">
        <v>1450</v>
      </c>
      <c r="M195" s="7">
        <v>2E-3</v>
      </c>
      <c r="N195" s="7">
        <v>1.5</v>
      </c>
      <c r="O195" s="7">
        <v>14</v>
      </c>
      <c r="P195" s="7">
        <v>1</v>
      </c>
      <c r="Q195" s="7">
        <f t="shared" si="10"/>
        <v>120</v>
      </c>
      <c r="R195" s="8" t="s">
        <v>27</v>
      </c>
      <c r="S195" s="8">
        <v>2908</v>
      </c>
      <c r="T195" s="7">
        <f t="shared" si="11"/>
        <v>1.6000000000000001E-3</v>
      </c>
      <c r="U195" s="7">
        <f t="shared" si="12"/>
        <v>6.9999999999999999E-4</v>
      </c>
      <c r="V195" s="102"/>
      <c r="W195" s="102"/>
      <c r="X195" s="3">
        <v>20</v>
      </c>
      <c r="Y195" s="3">
        <f>4004.3*0.6</f>
        <v>2402.58</v>
      </c>
    </row>
    <row r="196" spans="1:28" ht="24.95" customHeight="1" x14ac:dyDescent="0.25">
      <c r="A196" s="1220"/>
      <c r="B196" s="21" t="s">
        <v>26</v>
      </c>
      <c r="C196" s="1192" t="s">
        <v>29</v>
      </c>
      <c r="D196" s="7">
        <v>1.3</v>
      </c>
      <c r="E196" s="7">
        <v>3.5</v>
      </c>
      <c r="F196" s="7">
        <v>1</v>
      </c>
      <c r="G196" s="7">
        <v>1.3</v>
      </c>
      <c r="H196" s="7">
        <v>1.2</v>
      </c>
      <c r="I196" s="7">
        <v>0.01</v>
      </c>
      <c r="J196" s="7">
        <v>0.01</v>
      </c>
      <c r="K196" s="7">
        <v>3</v>
      </c>
      <c r="L196" s="7">
        <v>1450</v>
      </c>
      <c r="M196" s="7">
        <v>2E-3</v>
      </c>
      <c r="N196" s="7">
        <v>1.5</v>
      </c>
      <c r="O196" s="7">
        <v>14</v>
      </c>
      <c r="P196" s="7">
        <v>1</v>
      </c>
      <c r="Q196" s="7">
        <f t="shared" si="10"/>
        <v>70</v>
      </c>
      <c r="R196" s="8" t="s">
        <v>27</v>
      </c>
      <c r="S196" s="8">
        <v>2908</v>
      </c>
      <c r="T196" s="7">
        <f t="shared" si="11"/>
        <v>1.2999999999999999E-3</v>
      </c>
      <c r="U196" s="7">
        <f t="shared" si="12"/>
        <v>2.9999999999999997E-4</v>
      </c>
      <c r="V196" s="102"/>
      <c r="W196" s="102"/>
      <c r="X196" s="3">
        <v>20</v>
      </c>
      <c r="Y196" s="3">
        <f>3478.2*0.4</f>
        <v>1391.28</v>
      </c>
      <c r="Z196" s="5"/>
      <c r="AA196" s="1"/>
    </row>
    <row r="197" spans="1:28" ht="24.95" customHeight="1" x14ac:dyDescent="0.25">
      <c r="A197" s="1221"/>
      <c r="B197" s="21" t="s">
        <v>28</v>
      </c>
      <c r="C197" s="1272"/>
      <c r="D197" s="7">
        <v>1.9</v>
      </c>
      <c r="E197" s="7">
        <v>3.5</v>
      </c>
      <c r="F197" s="7">
        <v>1</v>
      </c>
      <c r="G197" s="7">
        <v>1.3</v>
      </c>
      <c r="H197" s="7">
        <v>1.2</v>
      </c>
      <c r="I197" s="7">
        <v>0.01</v>
      </c>
      <c r="J197" s="7">
        <v>0.01</v>
      </c>
      <c r="K197" s="7">
        <v>3</v>
      </c>
      <c r="L197" s="7">
        <v>1450</v>
      </c>
      <c r="M197" s="7">
        <v>2E-3</v>
      </c>
      <c r="N197" s="7">
        <v>1.5</v>
      </c>
      <c r="O197" s="7">
        <v>14</v>
      </c>
      <c r="P197" s="7">
        <v>1</v>
      </c>
      <c r="Q197" s="7">
        <f t="shared" si="10"/>
        <v>104</v>
      </c>
      <c r="R197" s="8" t="s">
        <v>27</v>
      </c>
      <c r="S197" s="8">
        <v>2908</v>
      </c>
      <c r="T197" s="7">
        <f t="shared" si="11"/>
        <v>1.6000000000000001E-3</v>
      </c>
      <c r="U197" s="7">
        <f t="shared" si="12"/>
        <v>5.9999999999999995E-4</v>
      </c>
      <c r="V197" s="102"/>
      <c r="W197" s="102"/>
      <c r="X197" s="3">
        <v>20</v>
      </c>
      <c r="Y197" s="3">
        <f>3478.2*0.6</f>
        <v>2086.9199999999996</v>
      </c>
      <c r="Z197" s="5"/>
      <c r="AA197" s="1"/>
    </row>
    <row r="198" spans="1:28" ht="24.95" customHeight="1" x14ac:dyDescent="0.25">
      <c r="A198" s="1266" t="s">
        <v>440</v>
      </c>
      <c r="B198" s="1188"/>
      <c r="C198" s="1188"/>
      <c r="D198" s="1188"/>
      <c r="E198" s="1188"/>
      <c r="F198" s="1188"/>
      <c r="G198" s="1188"/>
      <c r="H198" s="1188"/>
      <c r="I198" s="1188"/>
      <c r="J198" s="1188"/>
      <c r="K198" s="1188"/>
      <c r="L198" s="1188"/>
      <c r="M198" s="1188"/>
      <c r="N198" s="1188"/>
      <c r="O198" s="1188"/>
      <c r="P198" s="1188"/>
      <c r="Q198" s="1189"/>
      <c r="R198" s="194" t="s">
        <v>27</v>
      </c>
      <c r="S198" s="194">
        <v>2908</v>
      </c>
      <c r="T198" s="571">
        <f>MAX(T192,T194,T196)+MAX(T193,T195,T197)</f>
        <v>2.8999999999999998E-3</v>
      </c>
      <c r="U198" s="571">
        <f>U192+U193+U194+U195+U196+U197</f>
        <v>2.4999999999999996E-3</v>
      </c>
      <c r="V198" s="103"/>
      <c r="W198" s="103"/>
      <c r="Z198" s="4"/>
      <c r="AA198" s="2"/>
    </row>
    <row r="199" spans="1:28" x14ac:dyDescent="0.25">
      <c r="A199" s="1178" t="s">
        <v>257</v>
      </c>
      <c r="B199" s="1269"/>
      <c r="C199" s="1269"/>
      <c r="D199" s="1269"/>
      <c r="E199" s="1269"/>
      <c r="F199" s="1269"/>
      <c r="G199" s="1269"/>
      <c r="H199" s="1269"/>
      <c r="I199" s="1269"/>
      <c r="J199" s="1269"/>
      <c r="K199" s="1269"/>
      <c r="L199" s="1269"/>
      <c r="M199" s="1269"/>
      <c r="N199" s="1269"/>
      <c r="O199" s="1269"/>
      <c r="P199" s="1269"/>
      <c r="Q199" s="1269"/>
      <c r="R199" s="1269"/>
      <c r="S199" s="1269"/>
      <c r="T199" s="1269"/>
      <c r="U199" s="1270"/>
      <c r="V199" s="874"/>
      <c r="W199" s="875"/>
      <c r="X199" s="4"/>
      <c r="Y199" s="4"/>
      <c r="Z199" s="4"/>
      <c r="AA199" s="2"/>
    </row>
    <row r="200" spans="1:28" ht="24.95" customHeight="1" x14ac:dyDescent="0.25">
      <c r="A200" s="1181" t="s">
        <v>445</v>
      </c>
      <c r="B200" s="327" t="s">
        <v>26</v>
      </c>
      <c r="C200" s="1185" t="s">
        <v>359</v>
      </c>
      <c r="D200" s="311">
        <v>1.3</v>
      </c>
      <c r="E200" s="311">
        <v>3.5</v>
      </c>
      <c r="F200" s="311">
        <v>1</v>
      </c>
      <c r="G200" s="311">
        <v>1.3</v>
      </c>
      <c r="H200" s="311">
        <v>1.2</v>
      </c>
      <c r="I200" s="311">
        <v>0.01</v>
      </c>
      <c r="J200" s="311">
        <v>0.01</v>
      </c>
      <c r="K200" s="311">
        <v>2</v>
      </c>
      <c r="L200" s="311">
        <v>1450</v>
      </c>
      <c r="M200" s="311">
        <v>2E-3</v>
      </c>
      <c r="N200" s="311">
        <v>1.5</v>
      </c>
      <c r="O200" s="311">
        <v>14</v>
      </c>
      <c r="P200" s="311">
        <v>2</v>
      </c>
      <c r="Q200" s="311">
        <f>ROUND((Y200/X200),0)</f>
        <v>159</v>
      </c>
      <c r="R200" s="312" t="s">
        <v>27</v>
      </c>
      <c r="S200" s="312">
        <v>2908</v>
      </c>
      <c r="T200" s="311">
        <f>ROUND((D200*E200*F200*K200*N200*L200*I200*J200/3600)+(G200*H200*I200*M200*O200*P200),4)</f>
        <v>1.4E-3</v>
      </c>
      <c r="U200" s="311">
        <f>ROUND((((3.6*T200*Q200)/1000)),4)</f>
        <v>8.0000000000000004E-4</v>
      </c>
      <c r="V200" s="25"/>
      <c r="W200" s="25"/>
      <c r="X200" s="3">
        <v>10</v>
      </c>
      <c r="Y200" s="3">
        <f>3977.6*0.4</f>
        <v>1591.04</v>
      </c>
    </row>
    <row r="201" spans="1:28" ht="24.95" customHeight="1" x14ac:dyDescent="0.25">
      <c r="A201" s="1282"/>
      <c r="B201" s="327" t="s">
        <v>28</v>
      </c>
      <c r="C201" s="1184"/>
      <c r="D201" s="311">
        <v>1.9</v>
      </c>
      <c r="E201" s="311">
        <v>3.5</v>
      </c>
      <c r="F201" s="311">
        <v>1</v>
      </c>
      <c r="G201" s="311">
        <v>1.3</v>
      </c>
      <c r="H201" s="311">
        <v>1.2</v>
      </c>
      <c r="I201" s="311">
        <v>0.01</v>
      </c>
      <c r="J201" s="311">
        <v>0.01</v>
      </c>
      <c r="K201" s="311">
        <v>1</v>
      </c>
      <c r="L201" s="311">
        <v>1450</v>
      </c>
      <c r="M201" s="311">
        <v>2E-3</v>
      </c>
      <c r="N201" s="311">
        <v>1.5</v>
      </c>
      <c r="O201" s="311">
        <v>14</v>
      </c>
      <c r="P201" s="311">
        <v>1</v>
      </c>
      <c r="Q201" s="311">
        <f>ROUND((Y201/X201),0)</f>
        <v>239</v>
      </c>
      <c r="R201" s="312" t="s">
        <v>27</v>
      </c>
      <c r="S201" s="312">
        <v>2908</v>
      </c>
      <c r="T201" s="311">
        <f>ROUND((D201*E201*F201*K201*N201*L201*I201*J201/3600)+(G201*H201*I201*M201*O201*P201),4)</f>
        <v>8.0000000000000004E-4</v>
      </c>
      <c r="U201" s="311">
        <f>ROUND((((3.6*T201*Q201)/1000)),4)</f>
        <v>6.9999999999999999E-4</v>
      </c>
      <c r="V201" s="25"/>
      <c r="W201" s="25"/>
      <c r="X201" s="3">
        <v>10</v>
      </c>
      <c r="Y201" s="3">
        <f>3977.6*0.6</f>
        <v>2386.56</v>
      </c>
    </row>
    <row r="202" spans="1:28" ht="24.95" customHeight="1" x14ac:dyDescent="0.25">
      <c r="A202" s="1277" t="s">
        <v>446</v>
      </c>
      <c r="B202" s="1186"/>
      <c r="C202" s="1186"/>
      <c r="D202" s="1186"/>
      <c r="E202" s="1186"/>
      <c r="F202" s="1186"/>
      <c r="G202" s="1186"/>
      <c r="H202" s="1186"/>
      <c r="I202" s="1186"/>
      <c r="J202" s="1186"/>
      <c r="K202" s="1186"/>
      <c r="L202" s="1186"/>
      <c r="M202" s="1186"/>
      <c r="N202" s="1186"/>
      <c r="O202" s="1186"/>
      <c r="P202" s="1186"/>
      <c r="Q202" s="1187"/>
      <c r="R202" s="313" t="s">
        <v>27</v>
      </c>
      <c r="S202" s="313">
        <v>2908</v>
      </c>
      <c r="T202" s="572">
        <f>T200+T201</f>
        <v>2.2000000000000001E-3</v>
      </c>
      <c r="U202" s="572">
        <f>U200+U201</f>
        <v>1.5E-3</v>
      </c>
      <c r="V202" s="856"/>
      <c r="W202" s="856"/>
    </row>
    <row r="203" spans="1:28" x14ac:dyDescent="0.25">
      <c r="A203" s="1171" t="s">
        <v>261</v>
      </c>
      <c r="B203" s="1216"/>
      <c r="C203" s="1216"/>
      <c r="D203" s="1216"/>
      <c r="E203" s="1216"/>
      <c r="F203" s="1216"/>
      <c r="G203" s="1216"/>
      <c r="H203" s="1216"/>
      <c r="I203" s="1216"/>
      <c r="J203" s="1216"/>
      <c r="K203" s="1216"/>
      <c r="L203" s="1216"/>
      <c r="M203" s="1216"/>
      <c r="N203" s="1216"/>
      <c r="O203" s="1216"/>
      <c r="P203" s="1216"/>
      <c r="Q203" s="1216"/>
      <c r="R203" s="1216"/>
      <c r="S203" s="1216"/>
      <c r="T203" s="1216"/>
      <c r="U203" s="1217"/>
      <c r="V203" s="874"/>
      <c r="W203" s="874"/>
      <c r="X203" s="4"/>
      <c r="Y203" s="4"/>
      <c r="Z203" s="4"/>
      <c r="AA203" s="2"/>
    </row>
    <row r="204" spans="1:28" ht="24.95" customHeight="1" x14ac:dyDescent="0.25">
      <c r="A204" s="1193" t="s">
        <v>464</v>
      </c>
      <c r="B204" s="21" t="s">
        <v>26</v>
      </c>
      <c r="C204" s="1192" t="s">
        <v>207</v>
      </c>
      <c r="D204" s="7">
        <v>1.3</v>
      </c>
      <c r="E204" s="7">
        <v>3.5</v>
      </c>
      <c r="F204" s="7">
        <v>1</v>
      </c>
      <c r="G204" s="7">
        <v>1.3</v>
      </c>
      <c r="H204" s="7">
        <v>1.2</v>
      </c>
      <c r="I204" s="7">
        <v>0.01</v>
      </c>
      <c r="J204" s="7">
        <v>0.01</v>
      </c>
      <c r="K204" s="7">
        <v>2</v>
      </c>
      <c r="L204" s="7">
        <v>1450</v>
      </c>
      <c r="M204" s="7">
        <v>2E-3</v>
      </c>
      <c r="N204" s="7">
        <v>1.5</v>
      </c>
      <c r="O204" s="7">
        <v>14</v>
      </c>
      <c r="P204" s="7">
        <v>1</v>
      </c>
      <c r="Q204" s="7">
        <f>ROUND((Y204/X204),0)</f>
        <v>41</v>
      </c>
      <c r="R204" s="8" t="s">
        <v>27</v>
      </c>
      <c r="S204" s="8">
        <v>2908</v>
      </c>
      <c r="T204" s="7">
        <f>ROUND((D204*E204*F204*K204*N204*L204*I204*J204/3600)+(G204*H204*I204*M204*O204*P204),4)</f>
        <v>1E-3</v>
      </c>
      <c r="U204" s="7">
        <f>ROUND((((3.6*T204*Q204)/1000)),4)</f>
        <v>1E-4</v>
      </c>
      <c r="V204" s="102"/>
      <c r="W204" s="102"/>
      <c r="X204" s="3">
        <v>10</v>
      </c>
      <c r="Y204" s="5">
        <f>1014.9*0.4</f>
        <v>405.96000000000004</v>
      </c>
      <c r="Z204" s="5"/>
      <c r="AA204" s="1"/>
      <c r="AB204" s="1"/>
    </row>
    <row r="205" spans="1:28" ht="24.95" customHeight="1" x14ac:dyDescent="0.25">
      <c r="A205" s="1220"/>
      <c r="B205" s="21" t="s">
        <v>28</v>
      </c>
      <c r="C205" s="1272"/>
      <c r="D205" s="7">
        <v>1.9</v>
      </c>
      <c r="E205" s="7">
        <v>3.5</v>
      </c>
      <c r="F205" s="7">
        <v>1</v>
      </c>
      <c r="G205" s="7">
        <v>1.3</v>
      </c>
      <c r="H205" s="7">
        <v>1.2</v>
      </c>
      <c r="I205" s="7">
        <v>0.01</v>
      </c>
      <c r="J205" s="7">
        <v>0.01</v>
      </c>
      <c r="K205" s="7">
        <v>1</v>
      </c>
      <c r="L205" s="7">
        <v>1450</v>
      </c>
      <c r="M205" s="7">
        <v>2E-3</v>
      </c>
      <c r="N205" s="7">
        <v>1.5</v>
      </c>
      <c r="O205" s="7">
        <v>14</v>
      </c>
      <c r="P205" s="7">
        <v>1</v>
      </c>
      <c r="Q205" s="7">
        <f>ROUND((Y205/X205),0)</f>
        <v>61</v>
      </c>
      <c r="R205" s="8" t="s">
        <v>27</v>
      </c>
      <c r="S205" s="8">
        <v>2908</v>
      </c>
      <c r="T205" s="7">
        <f>ROUND((D205*E205*F205*K205*N205*L205*I205*J205/3600)+(G205*H205*I205*M205*O205*P205),4)</f>
        <v>8.0000000000000004E-4</v>
      </c>
      <c r="U205" s="7">
        <f>ROUND((((3.6*T205*Q205)/1000)),4)</f>
        <v>2.0000000000000001E-4</v>
      </c>
      <c r="V205" s="102"/>
      <c r="W205" s="102"/>
      <c r="X205" s="3">
        <v>10</v>
      </c>
      <c r="Y205" s="5">
        <f>1014.9*0.6</f>
        <v>608.93999999999994</v>
      </c>
      <c r="Z205" s="5"/>
      <c r="AA205" s="1"/>
      <c r="AB205" s="1"/>
    </row>
    <row r="206" spans="1:28" ht="24.95" customHeight="1" x14ac:dyDescent="0.25">
      <c r="A206" s="1220"/>
      <c r="B206" s="21" t="s">
        <v>26</v>
      </c>
      <c r="C206" s="1192" t="s">
        <v>359</v>
      </c>
      <c r="D206" s="7">
        <v>1.3</v>
      </c>
      <c r="E206" s="7">
        <v>3.5</v>
      </c>
      <c r="F206" s="7">
        <v>1</v>
      </c>
      <c r="G206" s="7">
        <v>1.3</v>
      </c>
      <c r="H206" s="7">
        <v>1.2</v>
      </c>
      <c r="I206" s="7">
        <v>0.01</v>
      </c>
      <c r="J206" s="7">
        <v>0.01</v>
      </c>
      <c r="K206" s="7">
        <v>2</v>
      </c>
      <c r="L206" s="7">
        <v>1450</v>
      </c>
      <c r="M206" s="7">
        <v>2E-3</v>
      </c>
      <c r="N206" s="7">
        <v>1.5</v>
      </c>
      <c r="O206" s="7">
        <v>14</v>
      </c>
      <c r="P206" s="7">
        <v>1</v>
      </c>
      <c r="Q206" s="7">
        <f>ROUND((Y206/X206),0)</f>
        <v>55</v>
      </c>
      <c r="R206" s="8" t="s">
        <v>27</v>
      </c>
      <c r="S206" s="8">
        <v>2908</v>
      </c>
      <c r="T206" s="7">
        <f>ROUND((D206*E206*F206*K206*N206*L206*I206*J206/3600)+(G206*H206*I206*M206*O206*P206),4)</f>
        <v>1E-3</v>
      </c>
      <c r="U206" s="7">
        <f>ROUND((((3.6*T206*Q206)/1000)),4)</f>
        <v>2.0000000000000001E-4</v>
      </c>
      <c r="V206" s="102"/>
      <c r="W206" s="102"/>
      <c r="X206" s="3">
        <v>10</v>
      </c>
      <c r="Y206" s="3">
        <f>1379.7*0.4</f>
        <v>551.88</v>
      </c>
      <c r="AB206" s="1"/>
    </row>
    <row r="207" spans="1:28" ht="24.95" customHeight="1" x14ac:dyDescent="0.25">
      <c r="A207" s="1220"/>
      <c r="B207" s="21" t="s">
        <v>28</v>
      </c>
      <c r="C207" s="1191"/>
      <c r="D207" s="7">
        <v>1.9</v>
      </c>
      <c r="E207" s="7">
        <v>3.5</v>
      </c>
      <c r="F207" s="7">
        <v>1</v>
      </c>
      <c r="G207" s="7">
        <v>1.3</v>
      </c>
      <c r="H207" s="7">
        <v>1.2</v>
      </c>
      <c r="I207" s="7">
        <v>0.01</v>
      </c>
      <c r="J207" s="7">
        <v>0.01</v>
      </c>
      <c r="K207" s="7">
        <v>1</v>
      </c>
      <c r="L207" s="7">
        <v>1450</v>
      </c>
      <c r="M207" s="7">
        <v>2E-3</v>
      </c>
      <c r="N207" s="7">
        <v>1.5</v>
      </c>
      <c r="O207" s="7">
        <v>14</v>
      </c>
      <c r="P207" s="7">
        <v>1</v>
      </c>
      <c r="Q207" s="7">
        <f>ROUND((Y207/X207),0)</f>
        <v>83</v>
      </c>
      <c r="R207" s="8" t="s">
        <v>27</v>
      </c>
      <c r="S207" s="8">
        <v>2908</v>
      </c>
      <c r="T207" s="7">
        <f>ROUND((D207*E207*F207*K207*N207*L207*I207*J207/3600)+(G207*H207*I207*M207*O207*P207),4)</f>
        <v>8.0000000000000004E-4</v>
      </c>
      <c r="U207" s="7">
        <f>ROUND((((3.6*T207*Q207)/1000)),4)</f>
        <v>2.0000000000000001E-4</v>
      </c>
      <c r="V207" s="102"/>
      <c r="W207" s="102"/>
      <c r="X207" s="3">
        <v>10</v>
      </c>
      <c r="Y207" s="3">
        <f>1379.7*0.6</f>
        <v>827.82</v>
      </c>
      <c r="AB207" s="1"/>
    </row>
    <row r="208" spans="1:28" ht="24.95" customHeight="1" x14ac:dyDescent="0.25">
      <c r="A208" s="1266" t="s">
        <v>465</v>
      </c>
      <c r="B208" s="1188"/>
      <c r="C208" s="1188"/>
      <c r="D208" s="1188"/>
      <c r="E208" s="1188"/>
      <c r="F208" s="1188"/>
      <c r="G208" s="1188"/>
      <c r="H208" s="1188"/>
      <c r="I208" s="1188"/>
      <c r="J208" s="1188"/>
      <c r="K208" s="1188"/>
      <c r="L208" s="1188"/>
      <c r="M208" s="1188"/>
      <c r="N208" s="1188"/>
      <c r="O208" s="1188"/>
      <c r="P208" s="1188"/>
      <c r="Q208" s="1189"/>
      <c r="R208" s="194" t="s">
        <v>27</v>
      </c>
      <c r="S208" s="194">
        <v>2908</v>
      </c>
      <c r="T208" s="571">
        <f>MAX(T204,T206)+MAX(T205,T207)</f>
        <v>1.8E-3</v>
      </c>
      <c r="U208" s="571">
        <f>U204+U205+U206+U207</f>
        <v>6.9999999999999999E-4</v>
      </c>
      <c r="V208" s="856"/>
      <c r="W208" s="856"/>
      <c r="X208" s="5"/>
      <c r="Y208" s="5"/>
      <c r="Z208" s="5"/>
      <c r="AA208" s="1"/>
      <c r="AB208" s="1"/>
    </row>
    <row r="209" spans="1:27" x14ac:dyDescent="0.25">
      <c r="A209" s="1171" t="s">
        <v>264</v>
      </c>
      <c r="B209" s="1216"/>
      <c r="C209" s="1216"/>
      <c r="D209" s="1216"/>
      <c r="E209" s="1216"/>
      <c r="F209" s="1216"/>
      <c r="G209" s="1216"/>
      <c r="H209" s="1216"/>
      <c r="I209" s="1216"/>
      <c r="J209" s="1216"/>
      <c r="K209" s="1216"/>
      <c r="L209" s="1216"/>
      <c r="M209" s="1216"/>
      <c r="N209" s="1216"/>
      <c r="O209" s="1216"/>
      <c r="P209" s="1216"/>
      <c r="Q209" s="1216"/>
      <c r="R209" s="1216"/>
      <c r="S209" s="1216"/>
      <c r="T209" s="1216"/>
      <c r="U209" s="1217"/>
      <c r="V209" s="874"/>
      <c r="W209" s="874"/>
      <c r="X209" s="5"/>
      <c r="Y209" s="5"/>
      <c r="Z209" s="5"/>
      <c r="AA209" s="1"/>
    </row>
    <row r="210" spans="1:27" ht="24.95" customHeight="1" x14ac:dyDescent="0.25">
      <c r="A210" s="185">
        <v>7078</v>
      </c>
      <c r="B210" s="21" t="s">
        <v>26</v>
      </c>
      <c r="C210" s="182" t="s">
        <v>359</v>
      </c>
      <c r="D210" s="7">
        <v>1.3</v>
      </c>
      <c r="E210" s="7">
        <v>3.5</v>
      </c>
      <c r="F210" s="7">
        <v>1</v>
      </c>
      <c r="G210" s="7">
        <v>1.3</v>
      </c>
      <c r="H210" s="7">
        <v>1.2</v>
      </c>
      <c r="I210" s="7">
        <v>0.01</v>
      </c>
      <c r="J210" s="7">
        <v>0.01</v>
      </c>
      <c r="K210" s="7">
        <v>2</v>
      </c>
      <c r="L210" s="7">
        <v>1450</v>
      </c>
      <c r="M210" s="7">
        <v>2E-3</v>
      </c>
      <c r="N210" s="7">
        <v>1</v>
      </c>
      <c r="O210" s="7">
        <v>14</v>
      </c>
      <c r="P210" s="7">
        <v>1</v>
      </c>
      <c r="Q210" s="7">
        <f>ROUND((Y210/X210),0)</f>
        <v>3</v>
      </c>
      <c r="R210" s="8" t="s">
        <v>27</v>
      </c>
      <c r="S210" s="8">
        <v>2908</v>
      </c>
      <c r="T210" s="7">
        <f>ROUND((D210*E210*F210*K210*N210*L210*I210*J210/3600)+(G210*H210*I210*M210*O210*P210),4)</f>
        <v>8.0000000000000004E-4</v>
      </c>
      <c r="U210" s="7">
        <f>ROUND((((3.6*T210*Q210)/1000)),5)</f>
        <v>1.0000000000000001E-5</v>
      </c>
      <c r="V210" s="25"/>
      <c r="W210" s="25"/>
      <c r="X210" s="5">
        <v>10</v>
      </c>
      <c r="Y210" s="5">
        <f>25.5*1</f>
        <v>25.5</v>
      </c>
      <c r="Z210" s="5"/>
      <c r="AA210" s="1"/>
    </row>
    <row r="211" spans="1:27" x14ac:dyDescent="0.25">
      <c r="A211" s="1171" t="s">
        <v>291</v>
      </c>
      <c r="B211" s="1216"/>
      <c r="C211" s="1216"/>
      <c r="D211" s="1216"/>
      <c r="E211" s="1216"/>
      <c r="F211" s="1216"/>
      <c r="G211" s="1216"/>
      <c r="H211" s="1216"/>
      <c r="I211" s="1216"/>
      <c r="J211" s="1216"/>
      <c r="K211" s="1216"/>
      <c r="L211" s="1216"/>
      <c r="M211" s="1216"/>
      <c r="N211" s="1216"/>
      <c r="O211" s="1216"/>
      <c r="P211" s="1216"/>
      <c r="Q211" s="1216"/>
      <c r="R211" s="1216"/>
      <c r="S211" s="1216"/>
      <c r="T211" s="1216"/>
      <c r="U211" s="1217"/>
      <c r="V211" s="874"/>
      <c r="W211" s="874"/>
      <c r="X211" s="4"/>
      <c r="Y211" s="4"/>
      <c r="Z211" s="4"/>
      <c r="AA211" s="2"/>
    </row>
    <row r="212" spans="1:27" ht="24.95" customHeight="1" x14ac:dyDescent="0.25">
      <c r="A212" s="1193" t="s">
        <v>502</v>
      </c>
      <c r="B212" s="21" t="s">
        <v>26</v>
      </c>
      <c r="C212" s="1192" t="s">
        <v>359</v>
      </c>
      <c r="D212" s="7">
        <v>1.3</v>
      </c>
      <c r="E212" s="7">
        <v>3.5</v>
      </c>
      <c r="F212" s="7">
        <v>1</v>
      </c>
      <c r="G212" s="7">
        <v>1.3</v>
      </c>
      <c r="H212" s="7">
        <v>1.2</v>
      </c>
      <c r="I212" s="7">
        <v>0.01</v>
      </c>
      <c r="J212" s="7">
        <v>0.01</v>
      </c>
      <c r="K212" s="7">
        <v>2</v>
      </c>
      <c r="L212" s="7">
        <v>1450</v>
      </c>
      <c r="M212" s="7">
        <v>2E-3</v>
      </c>
      <c r="N212" s="7">
        <v>1.5</v>
      </c>
      <c r="O212" s="7">
        <v>14</v>
      </c>
      <c r="P212" s="7">
        <v>2</v>
      </c>
      <c r="Q212" s="7">
        <f>ROUND((Y212/X212),0)</f>
        <v>73</v>
      </c>
      <c r="R212" s="8" t="s">
        <v>27</v>
      </c>
      <c r="S212" s="8">
        <v>2908</v>
      </c>
      <c r="T212" s="7">
        <f>ROUND((D212*E212*F212*K212*N212*L212*I212*J212/3600)+(G212*H212*I212*M212*O212*P212),4)</f>
        <v>1.4E-3</v>
      </c>
      <c r="U212" s="7">
        <f>ROUND((((3.6*T212*Q212)/1000)),4)</f>
        <v>4.0000000000000002E-4</v>
      </c>
      <c r="V212" s="102"/>
      <c r="W212" s="102"/>
      <c r="X212" s="3">
        <v>5</v>
      </c>
      <c r="Y212" s="3">
        <f>914.9*0.4</f>
        <v>365.96000000000004</v>
      </c>
    </row>
    <row r="213" spans="1:27" ht="24.95" customHeight="1" x14ac:dyDescent="0.25">
      <c r="A213" s="1220"/>
      <c r="B213" s="21" t="s">
        <v>28</v>
      </c>
      <c r="C213" s="1191"/>
      <c r="D213" s="7">
        <v>1.9</v>
      </c>
      <c r="E213" s="7">
        <v>3.5</v>
      </c>
      <c r="F213" s="7">
        <v>1</v>
      </c>
      <c r="G213" s="7">
        <v>1.3</v>
      </c>
      <c r="H213" s="7">
        <v>1.2</v>
      </c>
      <c r="I213" s="7">
        <v>0.01</v>
      </c>
      <c r="J213" s="7">
        <v>0.01</v>
      </c>
      <c r="K213" s="7">
        <v>1</v>
      </c>
      <c r="L213" s="7">
        <v>1450</v>
      </c>
      <c r="M213" s="7">
        <v>2E-3</v>
      </c>
      <c r="N213" s="7">
        <v>1.5</v>
      </c>
      <c r="O213" s="7">
        <v>14</v>
      </c>
      <c r="P213" s="7">
        <v>1</v>
      </c>
      <c r="Q213" s="7">
        <f>ROUND((Y213/X213),0)</f>
        <v>110</v>
      </c>
      <c r="R213" s="8" t="s">
        <v>27</v>
      </c>
      <c r="S213" s="8">
        <v>2908</v>
      </c>
      <c r="T213" s="7">
        <f>ROUND((D213*E213*F213*K213*N213*L213*I213*J213/3600)+(G213*H213*I213*M213*O213*P213),4)</f>
        <v>8.0000000000000004E-4</v>
      </c>
      <c r="U213" s="7">
        <f>ROUND((((3.6*T213*Q213)/1000)),4)</f>
        <v>2.9999999999999997E-4</v>
      </c>
      <c r="V213" s="102"/>
      <c r="W213" s="102"/>
      <c r="X213" s="3">
        <v>5</v>
      </c>
      <c r="Y213" s="3">
        <f>914.9*0.6</f>
        <v>548.93999999999994</v>
      </c>
    </row>
    <row r="214" spans="1:27" ht="24.95" customHeight="1" x14ac:dyDescent="0.25">
      <c r="A214" s="1220"/>
      <c r="B214" s="21" t="s">
        <v>26</v>
      </c>
      <c r="C214" s="1192" t="s">
        <v>29</v>
      </c>
      <c r="D214" s="7">
        <v>1.3</v>
      </c>
      <c r="E214" s="7">
        <v>3.5</v>
      </c>
      <c r="F214" s="7">
        <v>1</v>
      </c>
      <c r="G214" s="7">
        <v>1.3</v>
      </c>
      <c r="H214" s="7">
        <v>1.2</v>
      </c>
      <c r="I214" s="7">
        <v>0.01</v>
      </c>
      <c r="J214" s="7">
        <v>0.01</v>
      </c>
      <c r="K214" s="7">
        <v>2</v>
      </c>
      <c r="L214" s="7">
        <v>1450</v>
      </c>
      <c r="M214" s="7">
        <v>2E-3</v>
      </c>
      <c r="N214" s="7">
        <v>1.5</v>
      </c>
      <c r="O214" s="7">
        <v>14</v>
      </c>
      <c r="P214" s="7">
        <v>2</v>
      </c>
      <c r="Q214" s="7">
        <f>ROUND((Y214/X214),0)</f>
        <v>36</v>
      </c>
      <c r="R214" s="8" t="s">
        <v>27</v>
      </c>
      <c r="S214" s="8">
        <v>2908</v>
      </c>
      <c r="T214" s="7">
        <f>ROUND((D214*E214*F214*K214*N214*L214*I214*J214/3600)+(G214*H214*I214*M214*O214*P214),4)</f>
        <v>1.4E-3</v>
      </c>
      <c r="U214" s="7">
        <f>ROUND((((3.6*T214*Q214)/1000)),4)</f>
        <v>2.0000000000000001E-4</v>
      </c>
      <c r="V214" s="25"/>
      <c r="W214" s="25"/>
      <c r="X214" s="5">
        <v>10</v>
      </c>
      <c r="Y214" s="5">
        <f>887.9*0.4</f>
        <v>355.16</v>
      </c>
      <c r="Z214" s="5"/>
      <c r="AA214" s="1"/>
    </row>
    <row r="215" spans="1:27" ht="24.95" customHeight="1" x14ac:dyDescent="0.25">
      <c r="A215" s="1220"/>
      <c r="B215" s="21" t="s">
        <v>28</v>
      </c>
      <c r="C215" s="1272"/>
      <c r="D215" s="7">
        <v>1.9</v>
      </c>
      <c r="E215" s="7">
        <v>3.5</v>
      </c>
      <c r="F215" s="7">
        <v>1</v>
      </c>
      <c r="G215" s="7">
        <v>1.3</v>
      </c>
      <c r="H215" s="7">
        <v>1.2</v>
      </c>
      <c r="I215" s="7">
        <v>0.01</v>
      </c>
      <c r="J215" s="7">
        <v>0.01</v>
      </c>
      <c r="K215" s="7">
        <v>1</v>
      </c>
      <c r="L215" s="7">
        <v>1450</v>
      </c>
      <c r="M215" s="7">
        <v>2E-3</v>
      </c>
      <c r="N215" s="7">
        <v>1.5</v>
      </c>
      <c r="O215" s="7">
        <v>14</v>
      </c>
      <c r="P215" s="7">
        <v>1</v>
      </c>
      <c r="Q215" s="7">
        <f>ROUND((Y215/X215),0)</f>
        <v>53</v>
      </c>
      <c r="R215" s="8" t="s">
        <v>27</v>
      </c>
      <c r="S215" s="8">
        <v>2908</v>
      </c>
      <c r="T215" s="7">
        <f>ROUND((D215*E215*F215*K215*N215*L215*I215*J215/3600)+(G215*H215*I215*M215*O215*P215),4)</f>
        <v>8.0000000000000004E-4</v>
      </c>
      <c r="U215" s="7">
        <f>ROUND((((3.6*T215*Q215)/1000)),4)</f>
        <v>2.0000000000000001E-4</v>
      </c>
      <c r="V215" s="25"/>
      <c r="W215" s="25"/>
      <c r="X215" s="5">
        <v>10</v>
      </c>
      <c r="Y215" s="5">
        <f>887.9*0.6</f>
        <v>532.74</v>
      </c>
      <c r="Z215" s="5"/>
      <c r="AA215" s="1"/>
    </row>
    <row r="216" spans="1:27" ht="24.95" customHeight="1" x14ac:dyDescent="0.25">
      <c r="A216" s="1266" t="s">
        <v>503</v>
      </c>
      <c r="B216" s="1188"/>
      <c r="C216" s="1188"/>
      <c r="D216" s="1188"/>
      <c r="E216" s="1188"/>
      <c r="F216" s="1188"/>
      <c r="G216" s="1188"/>
      <c r="H216" s="1188"/>
      <c r="I216" s="1188"/>
      <c r="J216" s="1188"/>
      <c r="K216" s="1188"/>
      <c r="L216" s="1188"/>
      <c r="M216" s="1188"/>
      <c r="N216" s="1188"/>
      <c r="O216" s="1188"/>
      <c r="P216" s="1188"/>
      <c r="Q216" s="1189"/>
      <c r="R216" s="194" t="s">
        <v>27</v>
      </c>
      <c r="S216" s="194">
        <v>2908</v>
      </c>
      <c r="T216" s="571">
        <f>T212+T214+MAX(T213,T215)</f>
        <v>3.5999999999999999E-3</v>
      </c>
      <c r="U216" s="571">
        <f>U212+U213+U214+U215</f>
        <v>1.1000000000000001E-3</v>
      </c>
      <c r="V216" s="856"/>
      <c r="W216" s="856"/>
      <c r="X216" s="5"/>
      <c r="Y216" s="5"/>
      <c r="Z216" s="4"/>
      <c r="AA216" s="2"/>
    </row>
    <row r="217" spans="1:27" x14ac:dyDescent="0.25">
      <c r="A217" s="1171" t="s">
        <v>302</v>
      </c>
      <c r="B217" s="1216"/>
      <c r="C217" s="1216"/>
      <c r="D217" s="1216"/>
      <c r="E217" s="1216"/>
      <c r="F217" s="1216"/>
      <c r="G217" s="1216"/>
      <c r="H217" s="1216"/>
      <c r="I217" s="1216"/>
      <c r="J217" s="1216"/>
      <c r="K217" s="1216"/>
      <c r="L217" s="1216"/>
      <c r="M217" s="1216"/>
      <c r="N217" s="1216"/>
      <c r="O217" s="1216"/>
      <c r="P217" s="1216"/>
      <c r="Q217" s="1216"/>
      <c r="R217" s="1216"/>
      <c r="S217" s="1216"/>
      <c r="T217" s="1216"/>
      <c r="U217" s="1217"/>
      <c r="V217" s="874"/>
      <c r="W217" s="874"/>
      <c r="X217" s="4"/>
      <c r="Y217" s="4"/>
      <c r="Z217" s="4"/>
      <c r="AA217" s="2"/>
    </row>
    <row r="218" spans="1:27" ht="24.95" customHeight="1" x14ac:dyDescent="0.25">
      <c r="A218" s="1192" t="s">
        <v>515</v>
      </c>
      <c r="B218" s="21" t="s">
        <v>26</v>
      </c>
      <c r="C218" s="1192" t="s">
        <v>10</v>
      </c>
      <c r="D218" s="7">
        <v>1.3</v>
      </c>
      <c r="E218" s="7">
        <v>3.5</v>
      </c>
      <c r="F218" s="7">
        <v>1</v>
      </c>
      <c r="G218" s="7">
        <v>1.3</v>
      </c>
      <c r="H218" s="7">
        <v>1.2</v>
      </c>
      <c r="I218" s="7">
        <v>0.01</v>
      </c>
      <c r="J218" s="7">
        <v>0.01</v>
      </c>
      <c r="K218" s="7">
        <v>3</v>
      </c>
      <c r="L218" s="7">
        <v>1450</v>
      </c>
      <c r="M218" s="7">
        <v>2E-3</v>
      </c>
      <c r="N218" s="7">
        <v>1.5</v>
      </c>
      <c r="O218" s="7">
        <v>14</v>
      </c>
      <c r="P218" s="7">
        <v>1</v>
      </c>
      <c r="Q218" s="7">
        <f t="shared" ref="Q218:Q219" si="13">ROUND((Y218/X218),0)</f>
        <v>71</v>
      </c>
      <c r="R218" s="8" t="s">
        <v>27</v>
      </c>
      <c r="S218" s="8">
        <v>2908</v>
      </c>
      <c r="T218" s="7">
        <f t="shared" ref="T218:T219" si="14">ROUND((D218*E218*F218*K218*N218*L218*I218*J218/3600)+(G218*H218*I218*M218*O218*P218),4)</f>
        <v>1.2999999999999999E-3</v>
      </c>
      <c r="U218" s="7">
        <f t="shared" ref="U218:U219" si="15">ROUND((((3.6*T218*Q218)/1000)),4)</f>
        <v>2.9999999999999997E-4</v>
      </c>
      <c r="V218" s="102"/>
      <c r="W218" s="25"/>
      <c r="X218" s="5">
        <v>20</v>
      </c>
      <c r="Y218" s="5">
        <f>3528.4*0.4</f>
        <v>1411.3600000000001</v>
      </c>
      <c r="Z218" s="5"/>
      <c r="AA218" s="1"/>
    </row>
    <row r="219" spans="1:27" ht="24.95" customHeight="1" x14ac:dyDescent="0.25">
      <c r="A219" s="1220"/>
      <c r="B219" s="21" t="s">
        <v>28</v>
      </c>
      <c r="C219" s="1272"/>
      <c r="D219" s="7">
        <v>1.9</v>
      </c>
      <c r="E219" s="7">
        <v>3.5</v>
      </c>
      <c r="F219" s="7">
        <v>1</v>
      </c>
      <c r="G219" s="7">
        <v>1.3</v>
      </c>
      <c r="H219" s="7">
        <v>1.2</v>
      </c>
      <c r="I219" s="7">
        <v>0.01</v>
      </c>
      <c r="J219" s="7">
        <v>0.01</v>
      </c>
      <c r="K219" s="7">
        <v>2</v>
      </c>
      <c r="L219" s="7">
        <v>1450</v>
      </c>
      <c r="M219" s="7">
        <v>2E-3</v>
      </c>
      <c r="N219" s="7">
        <v>1.5</v>
      </c>
      <c r="O219" s="7">
        <v>14</v>
      </c>
      <c r="P219" s="7">
        <v>2</v>
      </c>
      <c r="Q219" s="7">
        <f t="shared" si="13"/>
        <v>106</v>
      </c>
      <c r="R219" s="8" t="s">
        <v>27</v>
      </c>
      <c r="S219" s="8">
        <v>2908</v>
      </c>
      <c r="T219" s="7">
        <f t="shared" si="14"/>
        <v>1.6999999999999999E-3</v>
      </c>
      <c r="U219" s="7">
        <f t="shared" si="15"/>
        <v>5.9999999999999995E-4</v>
      </c>
      <c r="V219" s="102"/>
      <c r="W219" s="25"/>
      <c r="X219" s="5">
        <v>20</v>
      </c>
      <c r="Y219" s="5">
        <f>3528.4*0.6</f>
        <v>2117.04</v>
      </c>
      <c r="Z219" s="5"/>
      <c r="AA219" s="1"/>
    </row>
    <row r="220" spans="1:27" ht="24.95" customHeight="1" x14ac:dyDescent="0.25">
      <c r="A220" s="1220"/>
      <c r="B220" s="21" t="s">
        <v>26</v>
      </c>
      <c r="C220" s="1192" t="s">
        <v>359</v>
      </c>
      <c r="D220" s="7">
        <v>1.3</v>
      </c>
      <c r="E220" s="7">
        <v>3.5</v>
      </c>
      <c r="F220" s="7">
        <v>1</v>
      </c>
      <c r="G220" s="7">
        <v>1.3</v>
      </c>
      <c r="H220" s="7">
        <v>1.2</v>
      </c>
      <c r="I220" s="7">
        <v>0.01</v>
      </c>
      <c r="J220" s="7">
        <v>0.01</v>
      </c>
      <c r="K220" s="7">
        <v>2</v>
      </c>
      <c r="L220" s="7">
        <v>1450</v>
      </c>
      <c r="M220" s="7">
        <v>2E-3</v>
      </c>
      <c r="N220" s="7">
        <v>1.5</v>
      </c>
      <c r="O220" s="7">
        <v>14</v>
      </c>
      <c r="P220" s="7">
        <v>1</v>
      </c>
      <c r="Q220" s="7">
        <f>ROUND((Y220/X220),0)</f>
        <v>104</v>
      </c>
      <c r="R220" s="8" t="s">
        <v>27</v>
      </c>
      <c r="S220" s="8">
        <v>2908</v>
      </c>
      <c r="T220" s="7">
        <f>ROUND((D220*E220*F220*K220*N220*L220*I220*J220/3600)+(G220*H220*I220*M220*O220*P220),4)</f>
        <v>1E-3</v>
      </c>
      <c r="U220" s="7">
        <f>ROUND((((3.6*T220*Q220)/1000)),4)</f>
        <v>4.0000000000000002E-4</v>
      </c>
      <c r="V220" s="25"/>
      <c r="W220" s="25"/>
      <c r="X220" s="3">
        <v>20</v>
      </c>
      <c r="Y220" s="3">
        <f>5222.7*0.4</f>
        <v>2089.08</v>
      </c>
    </row>
    <row r="221" spans="1:27" ht="24.95" customHeight="1" x14ac:dyDescent="0.25">
      <c r="A221" s="1220"/>
      <c r="B221" s="21" t="s">
        <v>28</v>
      </c>
      <c r="C221" s="1191"/>
      <c r="D221" s="7">
        <v>1.9</v>
      </c>
      <c r="E221" s="7">
        <v>3.5</v>
      </c>
      <c r="F221" s="7">
        <v>1</v>
      </c>
      <c r="G221" s="7">
        <v>1.3</v>
      </c>
      <c r="H221" s="7">
        <v>1.2</v>
      </c>
      <c r="I221" s="7">
        <v>0.01</v>
      </c>
      <c r="J221" s="7">
        <v>0.01</v>
      </c>
      <c r="K221" s="7">
        <v>2</v>
      </c>
      <c r="L221" s="7">
        <v>1450</v>
      </c>
      <c r="M221" s="7">
        <v>2E-3</v>
      </c>
      <c r="N221" s="7">
        <v>1.5</v>
      </c>
      <c r="O221" s="7">
        <v>14</v>
      </c>
      <c r="P221" s="7">
        <v>2</v>
      </c>
      <c r="Q221" s="7">
        <f>ROUND((Y221/X221),0)</f>
        <v>63</v>
      </c>
      <c r="R221" s="8" t="s">
        <v>27</v>
      </c>
      <c r="S221" s="8">
        <v>2908</v>
      </c>
      <c r="T221" s="7">
        <f>ROUND((D221*E221*F221*K221*N221*L221*I221*J221/3600)+(G221*H221*I221*M221*O221*P221),4)</f>
        <v>1.6999999999999999E-3</v>
      </c>
      <c r="U221" s="7">
        <f>ROUND((((3.6*T221*Q221)/1000)),4)</f>
        <v>4.0000000000000002E-4</v>
      </c>
      <c r="V221" s="25"/>
      <c r="W221" s="25"/>
      <c r="X221" s="3">
        <v>50</v>
      </c>
      <c r="Y221" s="3">
        <f>5222.7*0.6</f>
        <v>3133.62</v>
      </c>
    </row>
    <row r="222" spans="1:27" ht="24.95" customHeight="1" x14ac:dyDescent="0.25">
      <c r="A222" s="1220"/>
      <c r="B222" s="21" t="s">
        <v>26</v>
      </c>
      <c r="C222" s="1192" t="s">
        <v>29</v>
      </c>
      <c r="D222" s="7">
        <v>1.3</v>
      </c>
      <c r="E222" s="7">
        <v>3.5</v>
      </c>
      <c r="F222" s="7">
        <v>1</v>
      </c>
      <c r="G222" s="7">
        <v>1.3</v>
      </c>
      <c r="H222" s="7">
        <v>1.2</v>
      </c>
      <c r="I222" s="7">
        <v>0.01</v>
      </c>
      <c r="J222" s="7">
        <v>0.01</v>
      </c>
      <c r="K222" s="7">
        <v>3</v>
      </c>
      <c r="L222" s="7">
        <v>1450</v>
      </c>
      <c r="M222" s="7">
        <v>2E-3</v>
      </c>
      <c r="N222" s="7">
        <v>1.5</v>
      </c>
      <c r="O222" s="7">
        <v>14</v>
      </c>
      <c r="P222" s="7">
        <v>1</v>
      </c>
      <c r="Q222" s="7">
        <f>ROUND((Y222/X222),0)</f>
        <v>221</v>
      </c>
      <c r="R222" s="8" t="s">
        <v>27</v>
      </c>
      <c r="S222" s="8">
        <v>2908</v>
      </c>
      <c r="T222" s="7">
        <f>ROUND((D222*E222*F222*K222*N222*L222*I222*J222/3600)+(G222*H222*I222*M222*O222*P222),4)</f>
        <v>1.2999999999999999E-3</v>
      </c>
      <c r="U222" s="7">
        <f>ROUND((((3.6*T222*Q222)/1000)),4)</f>
        <v>1E-3</v>
      </c>
      <c r="V222" s="25"/>
      <c r="W222" s="25"/>
      <c r="X222" s="5">
        <v>30</v>
      </c>
      <c r="Y222" s="5">
        <f>16603.1*0.4</f>
        <v>6641.24</v>
      </c>
      <c r="Z222" s="5"/>
      <c r="AA222" s="1"/>
    </row>
    <row r="223" spans="1:27" ht="24.95" customHeight="1" x14ac:dyDescent="0.25">
      <c r="A223" s="1221"/>
      <c r="B223" s="21" t="s">
        <v>28</v>
      </c>
      <c r="C223" s="1272"/>
      <c r="D223" s="7">
        <v>1.9</v>
      </c>
      <c r="E223" s="7">
        <v>3.5</v>
      </c>
      <c r="F223" s="7">
        <v>1</v>
      </c>
      <c r="G223" s="7">
        <v>1.3</v>
      </c>
      <c r="H223" s="7">
        <v>1.2</v>
      </c>
      <c r="I223" s="7">
        <v>0.01</v>
      </c>
      <c r="J223" s="7">
        <v>0.01</v>
      </c>
      <c r="K223" s="7">
        <v>2</v>
      </c>
      <c r="L223" s="7">
        <v>1450</v>
      </c>
      <c r="M223" s="7">
        <v>2E-3</v>
      </c>
      <c r="N223" s="7">
        <v>1.5</v>
      </c>
      <c r="O223" s="7">
        <v>14</v>
      </c>
      <c r="P223" s="7">
        <v>2</v>
      </c>
      <c r="Q223" s="7">
        <f>ROUND((Y223/X223),0)</f>
        <v>142</v>
      </c>
      <c r="R223" s="8" t="s">
        <v>27</v>
      </c>
      <c r="S223" s="8">
        <v>2908</v>
      </c>
      <c r="T223" s="7">
        <f>ROUND((D223*E223*F223*K223*N223*L223*I223*J223/3600)+(G223*H223*I223*M223*O223*P223),4)</f>
        <v>1.6999999999999999E-3</v>
      </c>
      <c r="U223" s="7">
        <f>ROUND((((3.6*T223*Q223)/1000)),4)</f>
        <v>8.9999999999999998E-4</v>
      </c>
      <c r="V223" s="25"/>
      <c r="W223" s="25"/>
      <c r="X223" s="5">
        <v>70</v>
      </c>
      <c r="Y223" s="5">
        <f>16603.1*0.6</f>
        <v>9961.8599999999988</v>
      </c>
      <c r="Z223" s="5"/>
      <c r="AA223" s="1"/>
    </row>
    <row r="224" spans="1:27" ht="24.95" customHeight="1" x14ac:dyDescent="0.25">
      <c r="A224" s="1266" t="s">
        <v>516</v>
      </c>
      <c r="B224" s="1188"/>
      <c r="C224" s="1188"/>
      <c r="D224" s="1188"/>
      <c r="E224" s="1188"/>
      <c r="F224" s="1188"/>
      <c r="G224" s="1188"/>
      <c r="H224" s="1188"/>
      <c r="I224" s="1188"/>
      <c r="J224" s="1188"/>
      <c r="K224" s="1188"/>
      <c r="L224" s="1188"/>
      <c r="M224" s="1188"/>
      <c r="N224" s="1188"/>
      <c r="O224" s="1188"/>
      <c r="P224" s="1188"/>
      <c r="Q224" s="1189"/>
      <c r="R224" s="194" t="s">
        <v>27</v>
      </c>
      <c r="S224" s="194">
        <v>2908</v>
      </c>
      <c r="T224" s="571">
        <f>MAX(T218,T220,T222)+MAX(T219,T221,T223)</f>
        <v>3.0000000000000001E-3</v>
      </c>
      <c r="U224" s="571">
        <f>U218+U219+U220+U221+U222+U223</f>
        <v>3.5999999999999999E-3</v>
      </c>
      <c r="V224" s="872">
        <f>T172+T175+T178+T182+T186+T190+T198+T202+T208+T210+T216+T224</f>
        <v>2.7099999999999996E-2</v>
      </c>
      <c r="W224" s="871">
        <f>U172+U175+U178+U182+U186+U190+U198+U202+U208+U210+U216+U224</f>
        <v>3.3322000000000004E-2</v>
      </c>
      <c r="X224" s="871">
        <v>2028</v>
      </c>
      <c r="Y224" s="4"/>
      <c r="Z224" s="4"/>
      <c r="AA224" s="2"/>
    </row>
    <row r="225" spans="1:27" ht="15.75" x14ac:dyDescent="0.25">
      <c r="A225" s="1159" t="s">
        <v>63</v>
      </c>
      <c r="B225" s="1160"/>
      <c r="C225" s="1160"/>
      <c r="D225" s="1160"/>
      <c r="E225" s="1160"/>
      <c r="F225" s="1160"/>
      <c r="G225" s="1160"/>
      <c r="H225" s="1160"/>
      <c r="I225" s="1160"/>
      <c r="J225" s="1160"/>
      <c r="K225" s="1160"/>
      <c r="L225" s="1160"/>
      <c r="M225" s="1160"/>
      <c r="N225" s="1160"/>
      <c r="O225" s="1160"/>
      <c r="P225" s="1160"/>
      <c r="Q225" s="1160"/>
      <c r="R225" s="1160"/>
      <c r="S225" s="1160"/>
      <c r="T225" s="1160"/>
      <c r="U225" s="1161"/>
      <c r="V225" s="847"/>
      <c r="W225" s="847"/>
      <c r="X225" s="4"/>
      <c r="Y225" s="4"/>
      <c r="Z225" s="4"/>
      <c r="AA225" s="2"/>
    </row>
    <row r="226" spans="1:27" x14ac:dyDescent="0.25">
      <c r="A226" s="1171" t="s">
        <v>213</v>
      </c>
      <c r="B226" s="1216"/>
      <c r="C226" s="1216"/>
      <c r="D226" s="1216"/>
      <c r="E226" s="1216"/>
      <c r="F226" s="1216"/>
      <c r="G226" s="1216"/>
      <c r="H226" s="1216"/>
      <c r="I226" s="1216"/>
      <c r="J226" s="1216"/>
      <c r="K226" s="1216"/>
      <c r="L226" s="1216"/>
      <c r="M226" s="1216"/>
      <c r="N226" s="1216"/>
      <c r="O226" s="1216"/>
      <c r="P226" s="1216"/>
      <c r="Q226" s="1216"/>
      <c r="R226" s="1216"/>
      <c r="S226" s="1216"/>
      <c r="T226" s="1216"/>
      <c r="U226" s="1217"/>
      <c r="V226" s="875"/>
      <c r="W226" s="875"/>
    </row>
    <row r="227" spans="1:27" ht="24.95" customHeight="1" x14ac:dyDescent="0.25">
      <c r="A227" s="234" t="s">
        <v>396</v>
      </c>
      <c r="B227" s="21" t="s">
        <v>26</v>
      </c>
      <c r="C227" s="182" t="s">
        <v>207</v>
      </c>
      <c r="D227" s="7">
        <v>1.3</v>
      </c>
      <c r="E227" s="7">
        <v>3.5</v>
      </c>
      <c r="F227" s="7">
        <v>1</v>
      </c>
      <c r="G227" s="7">
        <v>1.3</v>
      </c>
      <c r="H227" s="7">
        <v>1.2</v>
      </c>
      <c r="I227" s="7">
        <v>0.01</v>
      </c>
      <c r="J227" s="7">
        <v>0.01</v>
      </c>
      <c r="K227" s="7">
        <v>2</v>
      </c>
      <c r="L227" s="7">
        <v>1450</v>
      </c>
      <c r="M227" s="7">
        <v>2E-3</v>
      </c>
      <c r="N227" s="7">
        <v>1.5</v>
      </c>
      <c r="O227" s="7">
        <v>14</v>
      </c>
      <c r="P227" s="7">
        <v>1</v>
      </c>
      <c r="Q227" s="7">
        <f>ROUND((Y227/X227),0)</f>
        <v>9</v>
      </c>
      <c r="R227" s="8" t="s">
        <v>27</v>
      </c>
      <c r="S227" s="8">
        <v>2908</v>
      </c>
      <c r="T227" s="7">
        <f>ROUND((D227*E227*F227*K227*N227*L227*I227*J227/3600)+(G227*H227*I227*M227*O227*P227),4)</f>
        <v>1E-3</v>
      </c>
      <c r="U227" s="7">
        <f>ROUND((((3.6*T227*Q227)/1000)),5)</f>
        <v>3.0000000000000001E-5</v>
      </c>
      <c r="V227" s="102"/>
      <c r="W227" s="102"/>
      <c r="X227" s="3">
        <v>10</v>
      </c>
      <c r="Y227" s="3">
        <f>87.5*1</f>
        <v>87.5</v>
      </c>
    </row>
    <row r="228" spans="1:27" ht="24.95" customHeight="1" x14ac:dyDescent="0.25">
      <c r="A228" s="1266" t="s">
        <v>397</v>
      </c>
      <c r="B228" s="1188"/>
      <c r="C228" s="1188"/>
      <c r="D228" s="1188"/>
      <c r="E228" s="1188"/>
      <c r="F228" s="1188"/>
      <c r="G228" s="1188"/>
      <c r="H228" s="1188"/>
      <c r="I228" s="1188"/>
      <c r="J228" s="1188"/>
      <c r="K228" s="1188"/>
      <c r="L228" s="1188"/>
      <c r="M228" s="1188"/>
      <c r="N228" s="1188"/>
      <c r="O228" s="1188"/>
      <c r="P228" s="1188"/>
      <c r="Q228" s="1189"/>
      <c r="R228" s="194" t="s">
        <v>27</v>
      </c>
      <c r="S228" s="194">
        <v>2908</v>
      </c>
      <c r="T228" s="571">
        <f>T227</f>
        <v>1E-3</v>
      </c>
      <c r="U228" s="571">
        <f>U227</f>
        <v>3.0000000000000001E-5</v>
      </c>
      <c r="V228" s="103"/>
      <c r="W228" s="103"/>
    </row>
    <row r="229" spans="1:27" x14ac:dyDescent="0.25">
      <c r="A229" s="1171" t="s">
        <v>302</v>
      </c>
      <c r="B229" s="1216"/>
      <c r="C229" s="1216"/>
      <c r="D229" s="1216"/>
      <c r="E229" s="1216"/>
      <c r="F229" s="1216"/>
      <c r="G229" s="1216"/>
      <c r="H229" s="1216"/>
      <c r="I229" s="1216"/>
      <c r="J229" s="1216"/>
      <c r="K229" s="1216"/>
      <c r="L229" s="1216"/>
      <c r="M229" s="1216"/>
      <c r="N229" s="1216"/>
      <c r="O229" s="1216"/>
      <c r="P229" s="1216"/>
      <c r="Q229" s="1216"/>
      <c r="R229" s="1216"/>
      <c r="S229" s="1216"/>
      <c r="T229" s="1216"/>
      <c r="U229" s="1217"/>
      <c r="V229" s="874"/>
      <c r="W229" s="874"/>
      <c r="X229" s="4"/>
      <c r="Y229" s="4"/>
      <c r="Z229" s="4"/>
      <c r="AA229" s="2"/>
    </row>
    <row r="230" spans="1:27" ht="24.95" customHeight="1" x14ac:dyDescent="0.25">
      <c r="A230" s="1192">
        <v>7116</v>
      </c>
      <c r="B230" s="21" t="s">
        <v>26</v>
      </c>
      <c r="C230" s="1192" t="s">
        <v>10</v>
      </c>
      <c r="D230" s="7">
        <v>1.3</v>
      </c>
      <c r="E230" s="7">
        <v>3.5</v>
      </c>
      <c r="F230" s="7">
        <v>1</v>
      </c>
      <c r="G230" s="7">
        <v>1.3</v>
      </c>
      <c r="H230" s="7">
        <v>1.2</v>
      </c>
      <c r="I230" s="7">
        <v>0.01</v>
      </c>
      <c r="J230" s="7">
        <v>0.01</v>
      </c>
      <c r="K230" s="7">
        <v>3</v>
      </c>
      <c r="L230" s="7">
        <v>1450</v>
      </c>
      <c r="M230" s="7">
        <v>2E-3</v>
      </c>
      <c r="N230" s="7">
        <v>1.5</v>
      </c>
      <c r="O230" s="7">
        <v>14</v>
      </c>
      <c r="P230" s="7">
        <v>1</v>
      </c>
      <c r="Q230" s="7">
        <f t="shared" ref="Q230:Q231" si="16">ROUND((Y230/X230),0)</f>
        <v>59</v>
      </c>
      <c r="R230" s="8" t="s">
        <v>27</v>
      </c>
      <c r="S230" s="8">
        <v>2908</v>
      </c>
      <c r="T230" s="7">
        <f t="shared" ref="T230:T231" si="17">ROUND((D230*E230*F230*K230*N230*L230*I230*J230/3600)+(G230*H230*I230*M230*O230*P230),4)</f>
        <v>1.2999999999999999E-3</v>
      </c>
      <c r="U230" s="7">
        <f t="shared" ref="U230:U231" si="18">ROUND((((3.6*T230*Q230)/1000)),4)</f>
        <v>2.9999999999999997E-4</v>
      </c>
      <c r="V230" s="25"/>
      <c r="W230" s="25"/>
      <c r="X230" s="5">
        <v>20</v>
      </c>
      <c r="Y230" s="5">
        <f>2968.6*0.4</f>
        <v>1187.44</v>
      </c>
      <c r="Z230" s="5"/>
      <c r="AA230" s="1"/>
    </row>
    <row r="231" spans="1:27" ht="24.95" customHeight="1" x14ac:dyDescent="0.25">
      <c r="A231" s="1220"/>
      <c r="B231" s="21" t="s">
        <v>28</v>
      </c>
      <c r="C231" s="1272"/>
      <c r="D231" s="7">
        <v>1.9</v>
      </c>
      <c r="E231" s="7">
        <v>3.5</v>
      </c>
      <c r="F231" s="7">
        <v>1</v>
      </c>
      <c r="G231" s="7">
        <v>1.3</v>
      </c>
      <c r="H231" s="7">
        <v>1.2</v>
      </c>
      <c r="I231" s="7">
        <v>0.01</v>
      </c>
      <c r="J231" s="7">
        <v>0.01</v>
      </c>
      <c r="K231" s="7">
        <v>2</v>
      </c>
      <c r="L231" s="7">
        <v>1450</v>
      </c>
      <c r="M231" s="7">
        <v>2E-3</v>
      </c>
      <c r="N231" s="7">
        <v>1.5</v>
      </c>
      <c r="O231" s="7">
        <v>14</v>
      </c>
      <c r="P231" s="7">
        <v>1</v>
      </c>
      <c r="Q231" s="7">
        <f t="shared" si="16"/>
        <v>89</v>
      </c>
      <c r="R231" s="8" t="s">
        <v>27</v>
      </c>
      <c r="S231" s="8">
        <v>2908</v>
      </c>
      <c r="T231" s="7">
        <f t="shared" si="17"/>
        <v>1.1999999999999999E-3</v>
      </c>
      <c r="U231" s="7">
        <f t="shared" si="18"/>
        <v>4.0000000000000002E-4</v>
      </c>
      <c r="V231" s="25"/>
      <c r="W231" s="25"/>
      <c r="X231" s="5">
        <v>20</v>
      </c>
      <c r="Y231" s="5">
        <f>2968.6*0.6</f>
        <v>1781.1599999999999</v>
      </c>
      <c r="Z231" s="5"/>
      <c r="AA231" s="1"/>
    </row>
    <row r="232" spans="1:27" ht="24.95" customHeight="1" x14ac:dyDescent="0.25">
      <c r="A232" s="1220"/>
      <c r="B232" s="21" t="s">
        <v>26</v>
      </c>
      <c r="C232" s="1192" t="s">
        <v>359</v>
      </c>
      <c r="D232" s="7">
        <v>1.3</v>
      </c>
      <c r="E232" s="7">
        <v>3.5</v>
      </c>
      <c r="F232" s="7">
        <v>1</v>
      </c>
      <c r="G232" s="7">
        <v>1.3</v>
      </c>
      <c r="H232" s="7">
        <v>1.2</v>
      </c>
      <c r="I232" s="7">
        <v>0.01</v>
      </c>
      <c r="J232" s="7">
        <v>0.01</v>
      </c>
      <c r="K232" s="7">
        <v>2</v>
      </c>
      <c r="L232" s="7">
        <v>1450</v>
      </c>
      <c r="M232" s="7">
        <v>2E-3</v>
      </c>
      <c r="N232" s="7">
        <v>1.5</v>
      </c>
      <c r="O232" s="7">
        <v>14</v>
      </c>
      <c r="P232" s="7">
        <v>1</v>
      </c>
      <c r="Q232" s="7">
        <f>ROUND((Y232/X232),0)</f>
        <v>344</v>
      </c>
      <c r="R232" s="8" t="s">
        <v>27</v>
      </c>
      <c r="S232" s="8">
        <v>2908</v>
      </c>
      <c r="T232" s="7">
        <f>ROUND((D232*E232*F232*K232*N232*L232*I232*J232/3600)+(G232*H232*I232*M232*O232*P232),4)</f>
        <v>1E-3</v>
      </c>
      <c r="U232" s="7">
        <f>ROUND((((3.6*T232*Q232)/1000)),4)</f>
        <v>1.1999999999999999E-3</v>
      </c>
      <c r="V232" s="25"/>
      <c r="W232" s="25"/>
      <c r="X232" s="3">
        <v>15</v>
      </c>
      <c r="Y232" s="3">
        <f>12889.6*0.4</f>
        <v>5155.84</v>
      </c>
    </row>
    <row r="233" spans="1:27" ht="24.95" customHeight="1" x14ac:dyDescent="0.25">
      <c r="A233" s="1220"/>
      <c r="B233" s="21" t="s">
        <v>28</v>
      </c>
      <c r="C233" s="1191"/>
      <c r="D233" s="7">
        <v>1.9</v>
      </c>
      <c r="E233" s="7">
        <v>3.5</v>
      </c>
      <c r="F233" s="7">
        <v>1</v>
      </c>
      <c r="G233" s="7">
        <v>1.3</v>
      </c>
      <c r="H233" s="7">
        <v>1.2</v>
      </c>
      <c r="I233" s="7">
        <v>0.01</v>
      </c>
      <c r="J233" s="7">
        <v>0.01</v>
      </c>
      <c r="K233" s="7">
        <v>2</v>
      </c>
      <c r="L233" s="7">
        <v>1450</v>
      </c>
      <c r="M233" s="7">
        <v>2E-3</v>
      </c>
      <c r="N233" s="7">
        <v>1.5</v>
      </c>
      <c r="O233" s="7">
        <v>14</v>
      </c>
      <c r="P233" s="7">
        <v>2</v>
      </c>
      <c r="Q233" s="7">
        <f>ROUND((Y233/X233),0)</f>
        <v>258</v>
      </c>
      <c r="R233" s="8" t="s">
        <v>27</v>
      </c>
      <c r="S233" s="8">
        <v>2908</v>
      </c>
      <c r="T233" s="7">
        <f>ROUND((D233*E233*F233*K233*N233*L233*I233*J233/3600)+(G233*H233*I233*M233*O233*P233),4)</f>
        <v>1.6999999999999999E-3</v>
      </c>
      <c r="U233" s="7">
        <f>ROUND((((3.6*T233*Q233)/1000)),4)</f>
        <v>1.6000000000000001E-3</v>
      </c>
      <c r="V233" s="25"/>
      <c r="W233" s="25"/>
      <c r="X233" s="3">
        <v>30</v>
      </c>
      <c r="Y233" s="3">
        <f>12889.6*0.6</f>
        <v>7733.76</v>
      </c>
    </row>
    <row r="234" spans="1:27" ht="24.95" customHeight="1" x14ac:dyDescent="0.25">
      <c r="A234" s="1220"/>
      <c r="B234" s="21" t="s">
        <v>26</v>
      </c>
      <c r="C234" s="1192" t="s">
        <v>29</v>
      </c>
      <c r="D234" s="7">
        <v>1.3</v>
      </c>
      <c r="E234" s="7">
        <v>3.5</v>
      </c>
      <c r="F234" s="7">
        <v>1</v>
      </c>
      <c r="G234" s="7">
        <v>1.3</v>
      </c>
      <c r="H234" s="7">
        <v>1.2</v>
      </c>
      <c r="I234" s="7">
        <v>0.01</v>
      </c>
      <c r="J234" s="7">
        <v>0.01</v>
      </c>
      <c r="K234" s="7">
        <v>3</v>
      </c>
      <c r="L234" s="7">
        <v>1450</v>
      </c>
      <c r="M234" s="7">
        <v>2E-3</v>
      </c>
      <c r="N234" s="7">
        <v>1.5</v>
      </c>
      <c r="O234" s="7">
        <v>14</v>
      </c>
      <c r="P234" s="7">
        <v>1</v>
      </c>
      <c r="Q234" s="7">
        <f>ROUND((Y234/X234),0)</f>
        <v>188</v>
      </c>
      <c r="R234" s="8" t="s">
        <v>27</v>
      </c>
      <c r="S234" s="8">
        <v>2908</v>
      </c>
      <c r="T234" s="7">
        <f>ROUND((D234*E234*F234*K234*N234*L234*I234*J234/3600)+(G234*H234*I234*M234*O234*P234),4)</f>
        <v>1.2999999999999999E-3</v>
      </c>
      <c r="U234" s="7">
        <f>ROUND((((3.6*T234*Q234)/1000)),4)</f>
        <v>8.9999999999999998E-4</v>
      </c>
      <c r="V234" s="25"/>
      <c r="W234" s="25"/>
      <c r="X234" s="5">
        <v>60</v>
      </c>
      <c r="Y234" s="5">
        <f>28197.2*0.4</f>
        <v>11278.880000000001</v>
      </c>
      <c r="Z234" s="5"/>
      <c r="AA234" s="1"/>
    </row>
    <row r="235" spans="1:27" ht="24.95" customHeight="1" x14ac:dyDescent="0.25">
      <c r="A235" s="1221"/>
      <c r="B235" s="21" t="s">
        <v>28</v>
      </c>
      <c r="C235" s="1272"/>
      <c r="D235" s="7">
        <v>1.9</v>
      </c>
      <c r="E235" s="7">
        <v>3.5</v>
      </c>
      <c r="F235" s="7">
        <v>1</v>
      </c>
      <c r="G235" s="7">
        <v>1.3</v>
      </c>
      <c r="H235" s="7">
        <v>1.2</v>
      </c>
      <c r="I235" s="7">
        <v>0.01</v>
      </c>
      <c r="J235" s="7">
        <v>0.01</v>
      </c>
      <c r="K235" s="7">
        <v>2</v>
      </c>
      <c r="L235" s="7">
        <v>1450</v>
      </c>
      <c r="M235" s="7">
        <v>2E-3</v>
      </c>
      <c r="N235" s="7">
        <v>1.5</v>
      </c>
      <c r="O235" s="7">
        <v>14</v>
      </c>
      <c r="P235" s="7">
        <v>2</v>
      </c>
      <c r="Q235" s="7">
        <f>ROUND((Y235/X235),0)</f>
        <v>211</v>
      </c>
      <c r="R235" s="8" t="s">
        <v>27</v>
      </c>
      <c r="S235" s="8">
        <v>2908</v>
      </c>
      <c r="T235" s="7">
        <f>ROUND((D235*E235*F235*K235*N235*L235*I235*J235/3600)+(G235*H235*I235*M235*O235*P235),4)</f>
        <v>1.6999999999999999E-3</v>
      </c>
      <c r="U235" s="7">
        <f>ROUND((((3.6*T235*Q235)/1000)),4)</f>
        <v>1.2999999999999999E-3</v>
      </c>
      <c r="V235" s="25"/>
      <c r="W235" s="25"/>
      <c r="X235" s="5">
        <v>80</v>
      </c>
      <c r="Y235" s="5">
        <f>28197.2*0.6</f>
        <v>16918.32</v>
      </c>
      <c r="Z235" s="5"/>
      <c r="AA235" s="1"/>
    </row>
    <row r="236" spans="1:27" ht="24.95" customHeight="1" x14ac:dyDescent="0.25">
      <c r="A236" s="1266" t="s">
        <v>516</v>
      </c>
      <c r="B236" s="1188"/>
      <c r="C236" s="1188"/>
      <c r="D236" s="1188"/>
      <c r="E236" s="1188"/>
      <c r="F236" s="1188"/>
      <c r="G236" s="1188"/>
      <c r="H236" s="1188"/>
      <c r="I236" s="1188"/>
      <c r="J236" s="1188"/>
      <c r="K236" s="1188"/>
      <c r="L236" s="1188"/>
      <c r="M236" s="1188"/>
      <c r="N236" s="1188"/>
      <c r="O236" s="1188"/>
      <c r="P236" s="1188"/>
      <c r="Q236" s="1189"/>
      <c r="R236" s="194" t="s">
        <v>27</v>
      </c>
      <c r="S236" s="194">
        <v>2908</v>
      </c>
      <c r="T236" s="571">
        <f>T230+T232+T234+MAX(T231,T233,T235)</f>
        <v>5.3E-3</v>
      </c>
      <c r="U236" s="571">
        <f>U230+U231+U232+U233+U234+U235</f>
        <v>5.6999999999999993E-3</v>
      </c>
      <c r="V236" s="872">
        <f>T228+T236</f>
        <v>6.3E-3</v>
      </c>
      <c r="W236" s="871">
        <f>U228+U236</f>
        <v>5.729999999999999E-3</v>
      </c>
      <c r="X236" s="871">
        <v>2029</v>
      </c>
      <c r="Y236" s="5"/>
      <c r="Z236" s="5"/>
      <c r="AA236" s="1"/>
    </row>
  </sheetData>
  <mergeCells count="197">
    <mergeCell ref="C234:C235"/>
    <mergeCell ref="C230:C231"/>
    <mergeCell ref="A110:U110"/>
    <mergeCell ref="A106:U106"/>
    <mergeCell ref="A107:A108"/>
    <mergeCell ref="C111:C112"/>
    <mergeCell ref="C125:C126"/>
    <mergeCell ref="A123:A126"/>
    <mergeCell ref="A128:U128"/>
    <mergeCell ref="C232:C233"/>
    <mergeCell ref="A230:A235"/>
    <mergeCell ref="C163:C164"/>
    <mergeCell ref="A161:A164"/>
    <mergeCell ref="C212:C213"/>
    <mergeCell ref="C214:C215"/>
    <mergeCell ref="A212:A215"/>
    <mergeCell ref="A216:Q216"/>
    <mergeCell ref="A160:U160"/>
    <mergeCell ref="A198:Q198"/>
    <mergeCell ref="C196:C197"/>
    <mergeCell ref="A173:U173"/>
    <mergeCell ref="A166:U166"/>
    <mergeCell ref="C206:C207"/>
    <mergeCell ref="C200:C201"/>
    <mergeCell ref="A225:U225"/>
    <mergeCell ref="C194:C195"/>
    <mergeCell ref="A203:U203"/>
    <mergeCell ref="C204:C205"/>
    <mergeCell ref="A224:Q224"/>
    <mergeCell ref="A229:U229"/>
    <mergeCell ref="A228:Q228"/>
    <mergeCell ref="A217:U217"/>
    <mergeCell ref="C220:C221"/>
    <mergeCell ref="A218:A223"/>
    <mergeCell ref="C222:C223"/>
    <mergeCell ref="A226:U226"/>
    <mergeCell ref="A209:U209"/>
    <mergeCell ref="A200:A201"/>
    <mergeCell ref="A202:Q202"/>
    <mergeCell ref="A204:A207"/>
    <mergeCell ref="A43:A44"/>
    <mergeCell ref="C43:C44"/>
    <mergeCell ref="A122:U122"/>
    <mergeCell ref="A114:U114"/>
    <mergeCell ref="A115:A116"/>
    <mergeCell ref="A121:Q121"/>
    <mergeCell ref="C115:C116"/>
    <mergeCell ref="A117:Q117"/>
    <mergeCell ref="A118:U118"/>
    <mergeCell ref="A119:A120"/>
    <mergeCell ref="C119:C120"/>
    <mergeCell ref="C107:C108"/>
    <mergeCell ref="A109:Q109"/>
    <mergeCell ref="A101:Q101"/>
    <mergeCell ref="A96:A100"/>
    <mergeCell ref="C96:C97"/>
    <mergeCell ref="A58:U58"/>
    <mergeCell ref="A59:A62"/>
    <mergeCell ref="C99:C100"/>
    <mergeCell ref="C59:C60"/>
    <mergeCell ref="C61:C62"/>
    <mergeCell ref="A102:U102"/>
    <mergeCell ref="A103:A104"/>
    <mergeCell ref="C103:C104"/>
    <mergeCell ref="A105:Q105"/>
    <mergeCell ref="A71:A78"/>
    <mergeCell ref="A80:U80"/>
    <mergeCell ref="A79:Q79"/>
    <mergeCell ref="C77:C78"/>
    <mergeCell ref="C192:C193"/>
    <mergeCell ref="A192:A197"/>
    <mergeCell ref="A236:Q236"/>
    <mergeCell ref="C129:C130"/>
    <mergeCell ref="A131:Q131"/>
    <mergeCell ref="A129:A130"/>
    <mergeCell ref="A199:U199"/>
    <mergeCell ref="C168:C169"/>
    <mergeCell ref="C141:C142"/>
    <mergeCell ref="A141:A142"/>
    <mergeCell ref="C135:C136"/>
    <mergeCell ref="C153:C154"/>
    <mergeCell ref="C155:C156"/>
    <mergeCell ref="A153:A156"/>
    <mergeCell ref="A157:Q157"/>
    <mergeCell ref="C188:C189"/>
    <mergeCell ref="A183:U183"/>
    <mergeCell ref="C184:C185"/>
    <mergeCell ref="A186:Q186"/>
    <mergeCell ref="A190:Q190"/>
    <mergeCell ref="A208:Q208"/>
    <mergeCell ref="A211:U211"/>
    <mergeCell ref="A152:U152"/>
    <mergeCell ref="A158:U158"/>
    <mergeCell ref="C161:C162"/>
    <mergeCell ref="C218:C219"/>
    <mergeCell ref="A191:U191"/>
    <mergeCell ref="C147:C148"/>
    <mergeCell ref="A172:Q172"/>
    <mergeCell ref="A175:Q175"/>
    <mergeCell ref="A176:U176"/>
    <mergeCell ref="A178:Q178"/>
    <mergeCell ref="A179:U179"/>
    <mergeCell ref="A182:Q182"/>
    <mergeCell ref="C170:C171"/>
    <mergeCell ref="A168:A171"/>
    <mergeCell ref="A180:A181"/>
    <mergeCell ref="C180:C181"/>
    <mergeCell ref="A165:Q165"/>
    <mergeCell ref="A151:Q151"/>
    <mergeCell ref="C149:C150"/>
    <mergeCell ref="A145:A150"/>
    <mergeCell ref="A184:A185"/>
    <mergeCell ref="A167:U167"/>
    <mergeCell ref="A187:U187"/>
    <mergeCell ref="A188:A189"/>
    <mergeCell ref="C145:C146"/>
    <mergeCell ref="A1:U1"/>
    <mergeCell ref="A3:O3"/>
    <mergeCell ref="A4:O4"/>
    <mergeCell ref="A6:U6"/>
    <mergeCell ref="A7:U7"/>
    <mergeCell ref="A8:O8"/>
    <mergeCell ref="A9:U9"/>
    <mergeCell ref="A10:O10"/>
    <mergeCell ref="A11:O11"/>
    <mergeCell ref="A31:U31"/>
    <mergeCell ref="A87:U87"/>
    <mergeCell ref="A88:A92"/>
    <mergeCell ref="C88:C89"/>
    <mergeCell ref="C90:C91"/>
    <mergeCell ref="A93:Q93"/>
    <mergeCell ref="A20:O20"/>
    <mergeCell ref="A21:O21"/>
    <mergeCell ref="A132:U132"/>
    <mergeCell ref="A111:A112"/>
    <mergeCell ref="C51:C52"/>
    <mergeCell ref="A53:Q53"/>
    <mergeCell ref="C83:C84"/>
    <mergeCell ref="C81:C82"/>
    <mergeCell ref="A81:A85"/>
    <mergeCell ref="A64:U64"/>
    <mergeCell ref="A63:Q63"/>
    <mergeCell ref="C71:C72"/>
    <mergeCell ref="C65:C66"/>
    <mergeCell ref="A70:U70"/>
    <mergeCell ref="A69:Q69"/>
    <mergeCell ref="C67:C68"/>
    <mergeCell ref="A65:A68"/>
    <mergeCell ref="C73:C74"/>
    <mergeCell ref="A133:A138"/>
    <mergeCell ref="A113:Q113"/>
    <mergeCell ref="A140:U140"/>
    <mergeCell ref="A144:U144"/>
    <mergeCell ref="A45:Q45"/>
    <mergeCell ref="A46:U46"/>
    <mergeCell ref="A47:A48"/>
    <mergeCell ref="C47:C48"/>
    <mergeCell ref="A54:U54"/>
    <mergeCell ref="A55:A56"/>
    <mergeCell ref="C55:C56"/>
    <mergeCell ref="A50:U50"/>
    <mergeCell ref="A95:U95"/>
    <mergeCell ref="A94:U94"/>
    <mergeCell ref="A86:Q86"/>
    <mergeCell ref="A57:Q57"/>
    <mergeCell ref="A143:Q143"/>
    <mergeCell ref="A139:Q139"/>
    <mergeCell ref="C123:C124"/>
    <mergeCell ref="A127:Q127"/>
    <mergeCell ref="C133:C134"/>
    <mergeCell ref="C137:C138"/>
    <mergeCell ref="A51:A52"/>
    <mergeCell ref="C75:C76"/>
    <mergeCell ref="A12:O12"/>
    <mergeCell ref="A13:O13"/>
    <mergeCell ref="A14:U14"/>
    <mergeCell ref="A15:O15"/>
    <mergeCell ref="A16:O16"/>
    <mergeCell ref="A17:U17"/>
    <mergeCell ref="A18:U18"/>
    <mergeCell ref="A19:O19"/>
    <mergeCell ref="A49:Q49"/>
    <mergeCell ref="A34:U34"/>
    <mergeCell ref="A35:U35"/>
    <mergeCell ref="A36:U36"/>
    <mergeCell ref="A37:A40"/>
    <mergeCell ref="C37:C38"/>
    <mergeCell ref="C39:C40"/>
    <mergeCell ref="A41:Q41"/>
    <mergeCell ref="A22:O22"/>
    <mergeCell ref="A23:U23"/>
    <mergeCell ref="A24:O24"/>
    <mergeCell ref="A25:O25"/>
    <mergeCell ref="A26:O26"/>
    <mergeCell ref="A27:O27"/>
    <mergeCell ref="A28:U28"/>
    <mergeCell ref="A42:U42"/>
  </mergeCells>
  <pageMargins left="0.31496062992125984" right="0.31496062992125984" top="0.74803149606299213" bottom="0.35433070866141736" header="0.31496062992125984" footer="0.31496062992125984"/>
  <pageSetup paperSize="9" firstPageNumber="39" orientation="landscape" useFirstPageNumber="1" r:id="rId1"/>
  <headerFoot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2836D-E5FF-425A-8178-47A2A7A36DD6}">
  <sheetPr>
    <tabColor theme="0"/>
  </sheetPr>
  <dimension ref="A1:AA141"/>
  <sheetViews>
    <sheetView view="pageBreakPreview" topLeftCell="A28" zoomScaleNormal="100" zoomScaleSheetLayoutView="100" workbookViewId="0">
      <selection activeCell="Q44" sqref="Q44"/>
    </sheetView>
  </sheetViews>
  <sheetFormatPr defaultRowHeight="15" x14ac:dyDescent="0.25"/>
  <cols>
    <col min="1" max="1" width="6.85546875" customWidth="1"/>
    <col min="2" max="2" width="15.85546875" customWidth="1"/>
    <col min="3" max="3" width="15.140625" customWidth="1"/>
    <col min="4" max="4" width="6" customWidth="1"/>
    <col min="5" max="6" width="5.5703125" customWidth="1"/>
    <col min="7" max="7" width="5.28515625" customWidth="1"/>
    <col min="8" max="8" width="5.42578125" customWidth="1"/>
    <col min="9" max="9" width="5" customWidth="1"/>
    <col min="10" max="10" width="4.7109375" customWidth="1"/>
    <col min="11" max="11" width="4.85546875" customWidth="1"/>
    <col min="12" max="12" width="6.85546875" customWidth="1"/>
    <col min="13" max="13" width="6.5703125" customWidth="1"/>
    <col min="14" max="14" width="16.5703125" customWidth="1"/>
    <col min="15" max="15" width="6.42578125" customWidth="1"/>
    <col min="16" max="16" width="5.7109375" customWidth="1"/>
    <col min="17" max="17" width="8.140625" customWidth="1"/>
    <col min="18" max="18" width="10" customWidth="1"/>
    <col min="19" max="20" width="10" style="881" customWidth="1"/>
    <col min="21" max="21" width="11.28515625" style="881" customWidth="1"/>
    <col min="22" max="22" width="10.85546875" customWidth="1"/>
  </cols>
  <sheetData>
    <row r="1" spans="1:21" s="61" customFormat="1" ht="18.75" x14ac:dyDescent="0.25">
      <c r="A1" s="1116" t="s">
        <v>943</v>
      </c>
      <c r="B1" s="1116"/>
      <c r="C1" s="1116"/>
      <c r="D1" s="1116"/>
      <c r="E1" s="1116"/>
      <c r="F1" s="1116"/>
      <c r="G1" s="1116"/>
      <c r="H1" s="1116"/>
      <c r="I1" s="1116"/>
      <c r="J1" s="1116"/>
      <c r="K1" s="1116"/>
      <c r="L1" s="1116"/>
      <c r="M1" s="1116"/>
      <c r="N1" s="1116"/>
      <c r="O1" s="1116"/>
      <c r="S1" s="887"/>
      <c r="T1" s="887"/>
      <c r="U1" s="887"/>
    </row>
    <row r="2" spans="1:21" s="61" customFormat="1" ht="12.75" customHeight="1" x14ac:dyDescent="0.25">
      <c r="A2" s="180"/>
      <c r="S2" s="887"/>
      <c r="T2" s="887"/>
      <c r="U2" s="887"/>
    </row>
    <row r="3" spans="1:21" s="62" customFormat="1" ht="15.75" x14ac:dyDescent="0.25">
      <c r="A3" s="1170" t="s">
        <v>611</v>
      </c>
      <c r="B3" s="1170"/>
      <c r="C3" s="1170"/>
      <c r="D3" s="1170"/>
      <c r="E3" s="1170"/>
      <c r="F3" s="1170"/>
      <c r="G3" s="1170"/>
      <c r="H3" s="1170"/>
      <c r="I3" s="1170"/>
      <c r="J3" s="1170"/>
      <c r="K3" s="1170"/>
      <c r="L3" s="1170"/>
      <c r="M3" s="1170"/>
      <c r="N3" s="1170"/>
      <c r="O3" s="1170"/>
      <c r="S3" s="887"/>
      <c r="T3" s="887"/>
      <c r="U3" s="887"/>
    </row>
    <row r="4" spans="1:21" s="62" customFormat="1" ht="15.75" x14ac:dyDescent="0.25">
      <c r="A4" s="1101" t="s">
        <v>612</v>
      </c>
      <c r="B4" s="1101"/>
      <c r="C4" s="1101"/>
      <c r="D4" s="1101"/>
      <c r="E4" s="1101"/>
      <c r="F4" s="1101"/>
      <c r="G4" s="1101"/>
      <c r="H4" s="1101"/>
      <c r="I4" s="1101"/>
      <c r="J4" s="1101"/>
      <c r="K4" s="1101"/>
      <c r="L4" s="1101"/>
      <c r="M4" s="1101"/>
      <c r="N4" s="1101"/>
      <c r="O4" s="1101"/>
      <c r="S4" s="887"/>
      <c r="T4" s="887"/>
      <c r="U4" s="887"/>
    </row>
    <row r="5" spans="1:21" s="61" customFormat="1" ht="18.75" x14ac:dyDescent="0.25">
      <c r="A5" s="180"/>
      <c r="S5" s="887"/>
      <c r="T5" s="887"/>
      <c r="U5" s="887"/>
    </row>
    <row r="6" spans="1:21" s="61" customFormat="1" ht="28.5" customHeight="1" x14ac:dyDescent="0.25">
      <c r="A6" s="1117" t="s">
        <v>761</v>
      </c>
      <c r="B6" s="1117"/>
      <c r="C6" s="1117"/>
      <c r="D6" s="1117"/>
      <c r="E6" s="1117"/>
      <c r="F6" s="1117"/>
      <c r="G6" s="1117"/>
      <c r="H6" s="1117"/>
      <c r="I6" s="1117"/>
      <c r="J6" s="1117"/>
      <c r="K6" s="1117"/>
      <c r="L6" s="1117"/>
      <c r="M6" s="1117"/>
      <c r="N6" s="1117"/>
      <c r="O6" s="1117"/>
      <c r="S6" s="887"/>
      <c r="T6" s="887"/>
      <c r="U6" s="887"/>
    </row>
    <row r="7" spans="1:21" s="61" customFormat="1" ht="25.5" customHeight="1" x14ac:dyDescent="0.25">
      <c r="A7" s="1116" t="s">
        <v>762</v>
      </c>
      <c r="B7" s="1116"/>
      <c r="C7" s="1116"/>
      <c r="D7" s="1116"/>
      <c r="E7" s="1116"/>
      <c r="F7" s="1116"/>
      <c r="G7" s="1116"/>
      <c r="H7" s="1116"/>
      <c r="I7" s="1116"/>
      <c r="J7" s="1116"/>
      <c r="K7" s="1116"/>
      <c r="L7" s="1116"/>
      <c r="M7" s="1116"/>
      <c r="N7" s="1116"/>
      <c r="O7" s="1116"/>
      <c r="S7" s="887"/>
      <c r="T7" s="887"/>
      <c r="U7" s="887"/>
    </row>
    <row r="8" spans="1:21" s="61" customFormat="1" ht="27.75" customHeight="1" x14ac:dyDescent="0.25">
      <c r="A8" s="1117" t="s">
        <v>763</v>
      </c>
      <c r="B8" s="1117"/>
      <c r="C8" s="1117"/>
      <c r="D8" s="1117"/>
      <c r="E8" s="1117"/>
      <c r="F8" s="1117"/>
      <c r="G8" s="1117"/>
      <c r="H8" s="1117"/>
      <c r="I8" s="1117"/>
      <c r="J8" s="1117"/>
      <c r="K8" s="1117"/>
      <c r="L8" s="1117"/>
      <c r="M8" s="1117"/>
      <c r="N8" s="1117"/>
      <c r="O8" s="1117"/>
      <c r="S8" s="887"/>
      <c r="T8" s="887"/>
      <c r="U8" s="887"/>
    </row>
    <row r="9" spans="1:21" s="61" customFormat="1" ht="25.5" customHeight="1" x14ac:dyDescent="0.25">
      <c r="A9" s="1116" t="s">
        <v>764</v>
      </c>
      <c r="B9" s="1116"/>
      <c r="C9" s="1116"/>
      <c r="D9" s="1116"/>
      <c r="E9" s="1116"/>
      <c r="F9" s="1116"/>
      <c r="G9" s="1116"/>
      <c r="H9" s="1116"/>
      <c r="I9" s="1116"/>
      <c r="J9" s="1116"/>
      <c r="K9" s="1116"/>
      <c r="L9" s="1116"/>
      <c r="M9" s="1116"/>
      <c r="N9" s="1116"/>
      <c r="O9" s="1116"/>
      <c r="S9" s="887"/>
      <c r="T9" s="887"/>
      <c r="U9" s="887"/>
    </row>
    <row r="10" spans="1:21" s="61" customFormat="1" ht="14.25" customHeight="1" x14ac:dyDescent="0.25">
      <c r="A10" s="1101" t="s">
        <v>744</v>
      </c>
      <c r="B10" s="1101"/>
      <c r="C10" s="1101"/>
      <c r="D10" s="1101"/>
      <c r="E10" s="1101"/>
      <c r="F10" s="1101"/>
      <c r="G10" s="1101"/>
      <c r="H10" s="1101"/>
      <c r="I10" s="1101"/>
      <c r="J10" s="1101"/>
      <c r="K10" s="1101"/>
      <c r="L10" s="1101"/>
      <c r="M10" s="1101"/>
      <c r="N10" s="1101"/>
      <c r="O10" s="1101"/>
      <c r="S10" s="887"/>
      <c r="T10" s="887"/>
      <c r="U10" s="887"/>
    </row>
    <row r="11" spans="1:21" s="61" customFormat="1" ht="35.1" customHeight="1" x14ac:dyDescent="0.25">
      <c r="A11" s="1101" t="s">
        <v>765</v>
      </c>
      <c r="B11" s="1101"/>
      <c r="C11" s="1101"/>
      <c r="D11" s="1101"/>
      <c r="E11" s="1101"/>
      <c r="F11" s="1101"/>
      <c r="G11" s="1101"/>
      <c r="H11" s="1101"/>
      <c r="I11" s="1101"/>
      <c r="J11" s="1101"/>
      <c r="K11" s="1101"/>
      <c r="L11" s="1101"/>
      <c r="M11" s="1101"/>
      <c r="N11" s="1101"/>
      <c r="O11" s="1101"/>
      <c r="S11" s="887"/>
      <c r="T11" s="887"/>
      <c r="U11" s="887"/>
    </row>
    <row r="12" spans="1:21" s="61" customFormat="1" ht="15.75" x14ac:dyDescent="0.25">
      <c r="A12" s="1101" t="s">
        <v>766</v>
      </c>
      <c r="B12" s="1101"/>
      <c r="C12" s="1101"/>
      <c r="D12" s="1101"/>
      <c r="E12" s="1101"/>
      <c r="F12" s="1101"/>
      <c r="G12" s="1101"/>
      <c r="H12" s="1101"/>
      <c r="I12" s="1101"/>
      <c r="J12" s="1101"/>
      <c r="K12" s="1101"/>
      <c r="L12" s="1101"/>
      <c r="M12" s="1101"/>
      <c r="N12" s="1101"/>
      <c r="O12" s="1101"/>
      <c r="S12" s="887"/>
      <c r="T12" s="887"/>
      <c r="U12" s="887"/>
    </row>
    <row r="13" spans="1:21" s="61" customFormat="1" ht="15.75" x14ac:dyDescent="0.25">
      <c r="A13" s="1101" t="s">
        <v>767</v>
      </c>
      <c r="B13" s="1101"/>
      <c r="C13" s="1101"/>
      <c r="D13" s="1101"/>
      <c r="E13" s="1101"/>
      <c r="F13" s="1101"/>
      <c r="G13" s="1101"/>
      <c r="H13" s="1101"/>
      <c r="I13" s="1101"/>
      <c r="J13" s="1101"/>
      <c r="K13" s="1101"/>
      <c r="L13" s="1101"/>
      <c r="M13" s="1101"/>
      <c r="N13" s="1101"/>
      <c r="O13" s="1101"/>
      <c r="S13" s="887"/>
      <c r="T13" s="887"/>
      <c r="U13" s="887"/>
    </row>
    <row r="14" spans="1:21" s="61" customFormat="1" ht="35.1" customHeight="1" x14ac:dyDescent="0.25">
      <c r="A14" s="1117" t="s">
        <v>768</v>
      </c>
      <c r="B14" s="1117"/>
      <c r="C14" s="1117"/>
      <c r="D14" s="1117"/>
      <c r="E14" s="1117"/>
      <c r="F14" s="1117"/>
      <c r="G14" s="1117"/>
      <c r="H14" s="1117"/>
      <c r="I14" s="1117"/>
      <c r="J14" s="1117"/>
      <c r="K14" s="1117"/>
      <c r="L14" s="1117"/>
      <c r="M14" s="1117"/>
      <c r="N14" s="1117"/>
      <c r="O14" s="1117"/>
      <c r="S14" s="887"/>
      <c r="T14" s="887"/>
      <c r="U14" s="887"/>
    </row>
    <row r="15" spans="1:21" s="61" customFormat="1" ht="15" customHeight="1" x14ac:dyDescent="0.25">
      <c r="A15" s="1101" t="s">
        <v>769</v>
      </c>
      <c r="B15" s="1101"/>
      <c r="C15" s="1101"/>
      <c r="D15" s="1101"/>
      <c r="E15" s="1101"/>
      <c r="F15" s="1101"/>
      <c r="G15" s="1101"/>
      <c r="H15" s="1101"/>
      <c r="I15" s="1101"/>
      <c r="J15" s="1101"/>
      <c r="K15" s="1101"/>
      <c r="L15" s="1101"/>
      <c r="M15" s="1101"/>
      <c r="N15" s="1101"/>
      <c r="O15" s="1101"/>
      <c r="S15" s="887"/>
      <c r="T15" s="887"/>
      <c r="U15" s="887"/>
    </row>
    <row r="16" spans="1:21" s="61" customFormat="1" ht="15" customHeight="1" x14ac:dyDescent="0.25">
      <c r="A16" s="1101" t="s">
        <v>770</v>
      </c>
      <c r="B16" s="1101"/>
      <c r="C16" s="1101"/>
      <c r="D16" s="1101"/>
      <c r="E16" s="1101"/>
      <c r="F16" s="1101"/>
      <c r="G16" s="1101"/>
      <c r="H16" s="1101"/>
      <c r="I16" s="1101"/>
      <c r="J16" s="1101"/>
      <c r="K16" s="1101"/>
      <c r="L16" s="1101"/>
      <c r="M16" s="1101"/>
      <c r="N16" s="1101"/>
      <c r="O16" s="1101"/>
      <c r="S16" s="887"/>
      <c r="T16" s="887"/>
      <c r="U16" s="887"/>
    </row>
    <row r="17" spans="1:27" s="61" customFormat="1" ht="15" customHeight="1" x14ac:dyDescent="0.25">
      <c r="A17" s="1101" t="s">
        <v>771</v>
      </c>
      <c r="B17" s="1101"/>
      <c r="C17" s="1101"/>
      <c r="D17" s="1101"/>
      <c r="E17" s="1101"/>
      <c r="F17" s="1101"/>
      <c r="G17" s="1101"/>
      <c r="H17" s="1101"/>
      <c r="I17" s="1101"/>
      <c r="J17" s="1101"/>
      <c r="K17" s="1101"/>
      <c r="L17" s="1101"/>
      <c r="M17" s="1101"/>
      <c r="N17" s="1101"/>
      <c r="O17" s="1101"/>
      <c r="S17" s="887"/>
      <c r="T17" s="887"/>
      <c r="U17" s="887"/>
    </row>
    <row r="18" spans="1:27" s="61" customFormat="1" ht="35.1" customHeight="1" x14ac:dyDescent="0.25">
      <c r="A18" s="1117" t="s">
        <v>772</v>
      </c>
      <c r="B18" s="1117"/>
      <c r="C18" s="1117"/>
      <c r="D18" s="1117"/>
      <c r="E18" s="1117"/>
      <c r="F18" s="1117"/>
      <c r="G18" s="1117"/>
      <c r="H18" s="1117"/>
      <c r="I18" s="1117"/>
      <c r="J18" s="1117"/>
      <c r="K18" s="1117"/>
      <c r="L18" s="1117"/>
      <c r="M18" s="1117"/>
      <c r="N18" s="1117"/>
      <c r="O18" s="1117"/>
      <c r="S18" s="887"/>
      <c r="T18" s="887"/>
      <c r="U18" s="887"/>
    </row>
    <row r="19" spans="1:27" s="61" customFormat="1" ht="15.75" x14ac:dyDescent="0.25">
      <c r="A19" s="1294" t="s">
        <v>773</v>
      </c>
      <c r="B19" s="1294"/>
      <c r="C19" s="1294"/>
      <c r="D19" s="1294"/>
      <c r="E19" s="1294"/>
      <c r="F19" s="1294"/>
      <c r="G19" s="1294"/>
      <c r="H19" s="1294"/>
      <c r="I19" s="1294"/>
      <c r="J19" s="1294"/>
      <c r="K19" s="1294"/>
      <c r="L19" s="1294"/>
      <c r="M19" s="1294"/>
      <c r="N19" s="1294"/>
      <c r="O19" s="1294"/>
      <c r="S19" s="887"/>
      <c r="T19" s="887"/>
      <c r="U19" s="887"/>
    </row>
    <row r="20" spans="1:27" s="61" customFormat="1" ht="15.75" x14ac:dyDescent="0.25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S20" s="887"/>
      <c r="T20" s="887"/>
      <c r="U20" s="887"/>
    </row>
    <row r="21" spans="1:27" s="61" customFormat="1" ht="18.75" x14ac:dyDescent="0.25">
      <c r="A21" s="1117" t="s">
        <v>780</v>
      </c>
      <c r="B21" s="1117"/>
      <c r="C21" s="1117"/>
      <c r="D21" s="1117"/>
      <c r="E21" s="1117"/>
      <c r="F21" s="1117"/>
      <c r="G21" s="1117"/>
      <c r="H21" s="1117"/>
      <c r="I21" s="1117"/>
      <c r="J21" s="1117"/>
      <c r="K21" s="1117"/>
      <c r="L21" s="1117"/>
      <c r="M21" s="1117"/>
      <c r="N21" s="1117"/>
      <c r="O21" s="1117"/>
      <c r="S21" s="887"/>
      <c r="T21" s="887"/>
      <c r="U21" s="887"/>
    </row>
    <row r="22" spans="1:27" s="61" customFormat="1" ht="18.75" x14ac:dyDescent="0.25">
      <c r="A22" s="180"/>
      <c r="S22" s="887"/>
      <c r="T22" s="887"/>
      <c r="U22" s="887"/>
    </row>
    <row r="23" spans="1:27" s="61" customFormat="1" x14ac:dyDescent="0.25">
      <c r="A23" s="216"/>
      <c r="S23" s="887"/>
      <c r="T23" s="887"/>
      <c r="U23" s="887"/>
    </row>
    <row r="24" spans="1:27" s="61" customFormat="1" x14ac:dyDescent="0.25">
      <c r="S24" s="887"/>
      <c r="T24" s="887"/>
      <c r="U24" s="887"/>
    </row>
    <row r="25" spans="1:27" s="61" customFormat="1" x14ac:dyDescent="0.25">
      <c r="S25" s="887"/>
      <c r="T25" s="887"/>
      <c r="U25" s="887"/>
    </row>
    <row r="26" spans="1:27" s="61" customFormat="1" x14ac:dyDescent="0.25">
      <c r="S26" s="887"/>
      <c r="T26" s="887"/>
      <c r="U26" s="887"/>
    </row>
    <row r="27" spans="1:27" s="61" customFormat="1" ht="3" customHeight="1" x14ac:dyDescent="0.25">
      <c r="S27" s="887"/>
      <c r="T27" s="887"/>
      <c r="U27" s="887"/>
    </row>
    <row r="28" spans="1:27" s="14" customFormat="1" ht="18.75" x14ac:dyDescent="0.3">
      <c r="A28" s="14" t="s">
        <v>781</v>
      </c>
      <c r="S28" s="605"/>
      <c r="T28" s="605"/>
      <c r="U28" s="605"/>
    </row>
    <row r="29" spans="1:27" s="153" customFormat="1" x14ac:dyDescent="0.25">
      <c r="A29" s="1192" t="s">
        <v>30</v>
      </c>
      <c r="B29" s="1295" t="s">
        <v>19</v>
      </c>
      <c r="C29" s="1295" t="s">
        <v>774</v>
      </c>
      <c r="D29" s="24" t="s">
        <v>31</v>
      </c>
      <c r="E29" s="24" t="s">
        <v>32</v>
      </c>
      <c r="F29" s="766" t="s">
        <v>33</v>
      </c>
      <c r="G29" s="766" t="s">
        <v>34</v>
      </c>
      <c r="H29" s="24" t="s">
        <v>35</v>
      </c>
      <c r="I29" s="24" t="s">
        <v>36</v>
      </c>
      <c r="J29" s="24" t="s">
        <v>37</v>
      </c>
      <c r="K29" s="766" t="s">
        <v>38</v>
      </c>
      <c r="L29" s="766" t="s">
        <v>39</v>
      </c>
      <c r="M29" s="766" t="s">
        <v>40</v>
      </c>
      <c r="N29" s="1192" t="s">
        <v>41</v>
      </c>
      <c r="O29" s="1192" t="s">
        <v>42</v>
      </c>
      <c r="P29" s="182" t="s">
        <v>23</v>
      </c>
      <c r="Q29" s="1292" t="s">
        <v>43</v>
      </c>
      <c r="R29" s="1293"/>
      <c r="S29" s="888"/>
      <c r="T29" s="888"/>
      <c r="U29" s="103"/>
      <c r="V29" s="102"/>
      <c r="W29" s="102"/>
      <c r="X29" s="102"/>
      <c r="Y29" s="102"/>
      <c r="Z29" s="102"/>
      <c r="AA29" s="102"/>
    </row>
    <row r="30" spans="1:27" s="153" customFormat="1" ht="11.25" customHeight="1" x14ac:dyDescent="0.25">
      <c r="A30" s="1272"/>
      <c r="B30" s="1295"/>
      <c r="C30" s="1295"/>
      <c r="D30" s="186"/>
      <c r="E30" s="185"/>
      <c r="F30" s="767"/>
      <c r="G30" s="767"/>
      <c r="H30" s="185"/>
      <c r="I30" s="185"/>
      <c r="J30" s="185"/>
      <c r="K30" s="767"/>
      <c r="L30" s="767" t="s">
        <v>44</v>
      </c>
      <c r="M30" s="767" t="s">
        <v>45</v>
      </c>
      <c r="N30" s="1272"/>
      <c r="O30" s="1272"/>
      <c r="P30" s="185"/>
      <c r="Q30" s="18" t="s">
        <v>46</v>
      </c>
      <c r="R30" s="8" t="s">
        <v>45</v>
      </c>
      <c r="S30" s="888"/>
      <c r="T30" s="888"/>
      <c r="U30" s="103"/>
      <c r="V30" s="102"/>
      <c r="W30" s="102"/>
      <c r="X30" s="102"/>
      <c r="Y30" s="102"/>
      <c r="Z30" s="102"/>
      <c r="AA30" s="102"/>
    </row>
    <row r="31" spans="1:27" s="153" customFormat="1" ht="12" customHeight="1" x14ac:dyDescent="0.25">
      <c r="A31" s="7">
        <v>1</v>
      </c>
      <c r="B31" s="223">
        <v>2</v>
      </c>
      <c r="C31" s="223">
        <v>3</v>
      </c>
      <c r="D31" s="7">
        <v>4</v>
      </c>
      <c r="E31" s="7">
        <v>5</v>
      </c>
      <c r="F31" s="758">
        <v>6</v>
      </c>
      <c r="G31" s="758">
        <v>7</v>
      </c>
      <c r="H31" s="7">
        <v>8</v>
      </c>
      <c r="I31" s="7">
        <v>9</v>
      </c>
      <c r="J31" s="7">
        <v>10</v>
      </c>
      <c r="K31" s="758">
        <v>11</v>
      </c>
      <c r="L31" s="758">
        <v>12</v>
      </c>
      <c r="M31" s="758">
        <v>13</v>
      </c>
      <c r="N31" s="7">
        <v>14</v>
      </c>
      <c r="O31" s="7">
        <v>15</v>
      </c>
      <c r="P31" s="7">
        <v>16</v>
      </c>
      <c r="Q31" s="7">
        <v>17</v>
      </c>
      <c r="R31" s="7">
        <v>18</v>
      </c>
      <c r="S31" s="889"/>
      <c r="T31" s="889"/>
      <c r="U31" s="103"/>
      <c r="V31" s="102"/>
      <c r="W31" s="102"/>
      <c r="X31" s="102"/>
      <c r="Y31" s="102"/>
      <c r="Z31" s="102"/>
      <c r="AA31" s="102"/>
    </row>
    <row r="32" spans="1:27" ht="15" customHeight="1" x14ac:dyDescent="0.25">
      <c r="A32" s="1229" t="s">
        <v>360</v>
      </c>
      <c r="B32" s="1285"/>
      <c r="C32" s="1285"/>
      <c r="D32" s="1285"/>
      <c r="E32" s="1285"/>
      <c r="F32" s="1285"/>
      <c r="G32" s="1285"/>
      <c r="H32" s="1285"/>
      <c r="I32" s="1285"/>
      <c r="J32" s="1285"/>
      <c r="K32" s="1285"/>
      <c r="L32" s="1285"/>
      <c r="M32" s="1285"/>
      <c r="N32" s="1285"/>
      <c r="O32" s="1285"/>
      <c r="P32" s="1285"/>
      <c r="Q32" s="1285"/>
      <c r="R32" s="1286"/>
      <c r="S32" s="890"/>
      <c r="T32" s="890"/>
    </row>
    <row r="33" spans="1:22" ht="15" customHeight="1" x14ac:dyDescent="0.3">
      <c r="A33" s="1287" t="s">
        <v>5</v>
      </c>
      <c r="B33" s="1297"/>
      <c r="C33" s="1297"/>
      <c r="D33" s="1297"/>
      <c r="E33" s="1297"/>
      <c r="F33" s="1297"/>
      <c r="G33" s="1297"/>
      <c r="H33" s="1297"/>
      <c r="I33" s="1297"/>
      <c r="J33" s="1297"/>
      <c r="K33" s="1297"/>
      <c r="L33" s="1297"/>
      <c r="M33" s="1297"/>
      <c r="N33" s="1297"/>
      <c r="O33" s="1297"/>
      <c r="P33" s="1297"/>
      <c r="Q33" s="1297"/>
      <c r="R33" s="1298"/>
      <c r="S33" s="891"/>
      <c r="T33" s="891"/>
    </row>
    <row r="34" spans="1:22" ht="15" customHeight="1" x14ac:dyDescent="0.25">
      <c r="A34" s="1171" t="s">
        <v>8</v>
      </c>
      <c r="B34" s="1283"/>
      <c r="C34" s="1283"/>
      <c r="D34" s="1283"/>
      <c r="E34" s="1283"/>
      <c r="F34" s="1283"/>
      <c r="G34" s="1283"/>
      <c r="H34" s="1283"/>
      <c r="I34" s="1283"/>
      <c r="J34" s="1283"/>
      <c r="K34" s="1283"/>
      <c r="L34" s="1283"/>
      <c r="M34" s="1283"/>
      <c r="N34" s="1283"/>
      <c r="O34" s="1283"/>
      <c r="P34" s="1283"/>
      <c r="Q34" s="1283"/>
      <c r="R34" s="1284"/>
      <c r="S34" s="892"/>
      <c r="T34" s="892"/>
    </row>
    <row r="35" spans="1:22" ht="35.25" customHeight="1" x14ac:dyDescent="0.25">
      <c r="A35" s="1299">
        <v>7003</v>
      </c>
      <c r="B35" s="8" t="s">
        <v>128</v>
      </c>
      <c r="C35" s="17" t="s">
        <v>129</v>
      </c>
      <c r="D35" s="8">
        <v>0.04</v>
      </c>
      <c r="E35" s="8">
        <v>0.03</v>
      </c>
      <c r="F35" s="18">
        <v>1.4</v>
      </c>
      <c r="G35" s="8">
        <v>1</v>
      </c>
      <c r="H35" s="8">
        <v>1</v>
      </c>
      <c r="I35" s="8" t="s">
        <v>47</v>
      </c>
      <c r="J35" s="8">
        <v>1</v>
      </c>
      <c r="K35" s="8">
        <v>0.5</v>
      </c>
      <c r="L35" s="8">
        <v>0.1</v>
      </c>
      <c r="M35" s="8">
        <v>0.15629999999999999</v>
      </c>
      <c r="N35" s="8" t="s">
        <v>1027</v>
      </c>
      <c r="O35" s="19" t="s">
        <v>49</v>
      </c>
      <c r="P35" s="8">
        <v>0</v>
      </c>
      <c r="Q35" s="8">
        <f>ROUND(((D35*E35*F35*G35*H35*J35*L35*1000000*K35/3600)*(1-P35)),4)</f>
        <v>2.3300000000000001E-2</v>
      </c>
      <c r="R35" s="8">
        <f>ROUND((D35*E35*F35*G35*H35*J35*K35*M35*(1-P35)),4)</f>
        <v>1E-4</v>
      </c>
      <c r="S35" s="65"/>
      <c r="T35" s="65"/>
    </row>
    <row r="36" spans="1:22" ht="35.25" customHeight="1" x14ac:dyDescent="0.25">
      <c r="A36" s="1300"/>
      <c r="B36" s="8" t="s">
        <v>216</v>
      </c>
      <c r="C36" s="17" t="s">
        <v>217</v>
      </c>
      <c r="D36" s="8">
        <v>0.04</v>
      </c>
      <c r="E36" s="8">
        <v>0.03</v>
      </c>
      <c r="F36" s="18">
        <v>1.4</v>
      </c>
      <c r="G36" s="8">
        <v>1</v>
      </c>
      <c r="H36" s="8">
        <v>1</v>
      </c>
      <c r="I36" s="8" t="s">
        <v>47</v>
      </c>
      <c r="J36" s="8">
        <v>0.8</v>
      </c>
      <c r="K36" s="8">
        <v>0.5</v>
      </c>
      <c r="L36" s="8">
        <v>1</v>
      </c>
      <c r="M36" s="8">
        <v>20</v>
      </c>
      <c r="N36" s="8" t="s">
        <v>16</v>
      </c>
      <c r="O36" s="19" t="s">
        <v>49</v>
      </c>
      <c r="P36" s="8">
        <v>0.8</v>
      </c>
      <c r="Q36" s="8">
        <f>ROUND(((D36*E36*F36*G36*H36*J36*L36*1000000*K36/3600)*(1-P36)),4)</f>
        <v>3.73E-2</v>
      </c>
      <c r="R36" s="8">
        <f>ROUND((D36*E36*F36*G36*H36*J36*K36*M36*(1-P36)),4)</f>
        <v>2.7000000000000001E-3</v>
      </c>
      <c r="S36" s="65"/>
      <c r="T36" s="65"/>
    </row>
    <row r="37" spans="1:22" ht="9.9499999999999993" customHeight="1" x14ac:dyDescent="0.25">
      <c r="A37" s="1206" t="s">
        <v>72</v>
      </c>
      <c r="B37" s="1207"/>
      <c r="C37" s="1207"/>
      <c r="D37" s="1207"/>
      <c r="E37" s="1207"/>
      <c r="F37" s="1207"/>
      <c r="G37" s="1207"/>
      <c r="H37" s="1207"/>
      <c r="I37" s="1207"/>
      <c r="J37" s="1207"/>
      <c r="K37" s="1207"/>
      <c r="L37" s="1207"/>
      <c r="M37" s="1207"/>
      <c r="N37" s="1207"/>
      <c r="O37" s="1207"/>
      <c r="P37" s="1207"/>
      <c r="Q37" s="1207"/>
      <c r="R37" s="1208"/>
      <c r="S37" s="893"/>
      <c r="T37" s="893"/>
    </row>
    <row r="38" spans="1:22" s="147" customFormat="1" ht="24" customHeight="1" x14ac:dyDescent="0.25">
      <c r="A38" s="1136" t="s">
        <v>312</v>
      </c>
      <c r="B38" s="1137"/>
      <c r="C38" s="1137"/>
      <c r="D38" s="1137"/>
      <c r="E38" s="1137"/>
      <c r="F38" s="1137"/>
      <c r="G38" s="1137"/>
      <c r="H38" s="1137"/>
      <c r="I38" s="1137"/>
      <c r="J38" s="1137"/>
      <c r="K38" s="1137"/>
      <c r="L38" s="1137"/>
      <c r="M38" s="1138"/>
      <c r="N38" s="194" t="s">
        <v>16</v>
      </c>
      <c r="O38" s="225" t="s">
        <v>49</v>
      </c>
      <c r="P38" s="8"/>
      <c r="Q38" s="194">
        <f>MAX(Q35,Q36)</f>
        <v>3.73E-2</v>
      </c>
      <c r="R38" s="194">
        <f>R35+R36</f>
        <v>2.8E-3</v>
      </c>
      <c r="S38" s="149"/>
      <c r="T38" s="149"/>
      <c r="U38" s="884"/>
    </row>
    <row r="39" spans="1:22" ht="15" customHeight="1" x14ac:dyDescent="0.25">
      <c r="A39" s="1171" t="s">
        <v>213</v>
      </c>
      <c r="B39" s="1283"/>
      <c r="C39" s="1283"/>
      <c r="D39" s="1283"/>
      <c r="E39" s="1283"/>
      <c r="F39" s="1283"/>
      <c r="G39" s="1283"/>
      <c r="H39" s="1283"/>
      <c r="I39" s="1283"/>
      <c r="J39" s="1283"/>
      <c r="K39" s="1283"/>
      <c r="L39" s="1283"/>
      <c r="M39" s="1283"/>
      <c r="N39" s="1283"/>
      <c r="O39" s="1283"/>
      <c r="P39" s="1283"/>
      <c r="Q39" s="1283"/>
      <c r="R39" s="1284"/>
      <c r="S39" s="892"/>
      <c r="T39" s="892"/>
    </row>
    <row r="40" spans="1:22" s="147" customFormat="1" ht="32.25" customHeight="1" x14ac:dyDescent="0.25">
      <c r="A40" s="7">
        <v>7021</v>
      </c>
      <c r="B40" s="20" t="s">
        <v>214</v>
      </c>
      <c r="C40" s="17" t="s">
        <v>75</v>
      </c>
      <c r="D40" s="8">
        <v>0.04</v>
      </c>
      <c r="E40" s="8">
        <v>0.03</v>
      </c>
      <c r="F40" s="18">
        <v>1.4</v>
      </c>
      <c r="G40" s="8">
        <v>1</v>
      </c>
      <c r="H40" s="8">
        <v>1</v>
      </c>
      <c r="I40" s="8" t="s">
        <v>47</v>
      </c>
      <c r="J40" s="8">
        <v>1</v>
      </c>
      <c r="K40" s="8">
        <v>0.5</v>
      </c>
      <c r="L40" s="8">
        <v>0.1</v>
      </c>
      <c r="M40" s="8">
        <v>0.66</v>
      </c>
      <c r="N40" s="8" t="s">
        <v>16</v>
      </c>
      <c r="O40" s="19" t="s">
        <v>49</v>
      </c>
      <c r="P40" s="8">
        <v>0</v>
      </c>
      <c r="Q40" s="8">
        <f>ROUND(((D40*E40*F40*G40*H40*J40*L40*1000000*K40/3600)*(1-P40)),4)</f>
        <v>2.3300000000000001E-2</v>
      </c>
      <c r="R40" s="8">
        <f>ROUND((D40*E40*F40*G40*H40*J40*K40*M40*(1-P40)),4)</f>
        <v>5.9999999999999995E-4</v>
      </c>
      <c r="S40" s="149"/>
      <c r="T40" s="149"/>
      <c r="U40" s="884"/>
    </row>
    <row r="41" spans="1:22" ht="15" customHeight="1" x14ac:dyDescent="0.25">
      <c r="A41" s="1171" t="s">
        <v>284</v>
      </c>
      <c r="B41" s="1283"/>
      <c r="C41" s="1283"/>
      <c r="D41" s="1283"/>
      <c r="E41" s="1283"/>
      <c r="F41" s="1283"/>
      <c r="G41" s="1283"/>
      <c r="H41" s="1283"/>
      <c r="I41" s="1283"/>
      <c r="J41" s="1283"/>
      <c r="K41" s="1283"/>
      <c r="L41" s="1283"/>
      <c r="M41" s="1283"/>
      <c r="N41" s="1283"/>
      <c r="O41" s="1283"/>
      <c r="P41" s="1283"/>
      <c r="Q41" s="1283"/>
      <c r="R41" s="1284"/>
      <c r="S41" s="892"/>
      <c r="T41" s="892"/>
    </row>
    <row r="42" spans="1:22" s="147" customFormat="1" ht="35.25" customHeight="1" x14ac:dyDescent="0.25">
      <c r="A42" s="7">
        <v>7092</v>
      </c>
      <c r="B42" s="8" t="s">
        <v>216</v>
      </c>
      <c r="C42" s="17" t="s">
        <v>217</v>
      </c>
      <c r="D42" s="8">
        <v>0.04</v>
      </c>
      <c r="E42" s="8">
        <v>0.03</v>
      </c>
      <c r="F42" s="18">
        <v>1.4</v>
      </c>
      <c r="G42" s="8">
        <v>1</v>
      </c>
      <c r="H42" s="8">
        <v>1</v>
      </c>
      <c r="I42" s="8" t="s">
        <v>47</v>
      </c>
      <c r="J42" s="8">
        <v>0.8</v>
      </c>
      <c r="K42" s="8">
        <v>0.5</v>
      </c>
      <c r="L42" s="8">
        <v>1</v>
      </c>
      <c r="M42" s="8">
        <v>89</v>
      </c>
      <c r="N42" s="8" t="s">
        <v>16</v>
      </c>
      <c r="O42" s="19" t="s">
        <v>49</v>
      </c>
      <c r="P42" s="8">
        <v>0.8</v>
      </c>
      <c r="Q42" s="8">
        <f>ROUND(((D42*E42*F42*G42*H42*J42*L42*1000000*K42/3600)*(1-P42)),4)</f>
        <v>3.73E-2</v>
      </c>
      <c r="R42" s="8">
        <f>ROUND((D42*E42*F42*G42*H42*J42*K42*M42*(1-P42)),4)</f>
        <v>1.2E-2</v>
      </c>
      <c r="S42" s="149"/>
      <c r="T42" s="149"/>
      <c r="U42" s="884"/>
    </row>
    <row r="43" spans="1:22" ht="15" customHeight="1" x14ac:dyDescent="0.25">
      <c r="A43" s="1171" t="s">
        <v>286</v>
      </c>
      <c r="B43" s="1283"/>
      <c r="C43" s="1283"/>
      <c r="D43" s="1283"/>
      <c r="E43" s="1283"/>
      <c r="F43" s="1283"/>
      <c r="G43" s="1283"/>
      <c r="H43" s="1283"/>
      <c r="I43" s="1283"/>
      <c r="J43" s="1283"/>
      <c r="K43" s="1283"/>
      <c r="L43" s="1283"/>
      <c r="M43" s="1283"/>
      <c r="N43" s="1283"/>
      <c r="O43" s="1283"/>
      <c r="P43" s="1283"/>
      <c r="Q43" s="1283"/>
      <c r="R43" s="1284"/>
      <c r="S43" s="892"/>
      <c r="T43" s="892"/>
    </row>
    <row r="44" spans="1:22" s="147" customFormat="1" ht="34.5" customHeight="1" x14ac:dyDescent="0.25">
      <c r="A44" s="7">
        <v>7097</v>
      </c>
      <c r="B44" s="8" t="s">
        <v>216</v>
      </c>
      <c r="C44" s="17" t="s">
        <v>217</v>
      </c>
      <c r="D44" s="8">
        <v>0.04</v>
      </c>
      <c r="E44" s="8">
        <v>0.03</v>
      </c>
      <c r="F44" s="18">
        <v>1.4</v>
      </c>
      <c r="G44" s="8">
        <v>1</v>
      </c>
      <c r="H44" s="8">
        <v>1</v>
      </c>
      <c r="I44" s="8" t="s">
        <v>47</v>
      </c>
      <c r="J44" s="8">
        <v>0.8</v>
      </c>
      <c r="K44" s="8">
        <v>0.5</v>
      </c>
      <c r="L44" s="8">
        <v>0.1</v>
      </c>
      <c r="M44" s="8">
        <v>0.31</v>
      </c>
      <c r="N44" s="8" t="s">
        <v>16</v>
      </c>
      <c r="O44" s="19" t="s">
        <v>49</v>
      </c>
      <c r="P44" s="8">
        <v>0.8</v>
      </c>
      <c r="Q44" s="8">
        <f>ROUND(((D44*E44*F44*G44*H44*J44*L44*1000000*K44/3600)*(1-P44)),4)</f>
        <v>3.7000000000000002E-3</v>
      </c>
      <c r="R44" s="8">
        <f>ROUND((D44*E44*F44*G44*H44*J44*K44*M44*(1-P44)),5)</f>
        <v>4.0000000000000003E-5</v>
      </c>
      <c r="S44" s="871">
        <f>Q38+Q40+Q42+Q44</f>
        <v>0.1016</v>
      </c>
      <c r="T44" s="871">
        <f>R38+R40+R42+R44</f>
        <v>1.5440000000000001E-2</v>
      </c>
      <c r="U44" s="871">
        <v>2026</v>
      </c>
      <c r="V44" s="146"/>
    </row>
    <row r="45" spans="1:22" ht="15" customHeight="1" x14ac:dyDescent="0.3">
      <c r="A45" s="1287" t="s">
        <v>11</v>
      </c>
      <c r="B45" s="1288"/>
      <c r="C45" s="1288"/>
      <c r="D45" s="1288"/>
      <c r="E45" s="1288"/>
      <c r="F45" s="1288"/>
      <c r="G45" s="1288"/>
      <c r="H45" s="1288"/>
      <c r="I45" s="1288"/>
      <c r="J45" s="1288"/>
      <c r="K45" s="1288"/>
      <c r="L45" s="1288"/>
      <c r="M45" s="1288"/>
      <c r="N45" s="1288"/>
      <c r="O45" s="1288"/>
      <c r="P45" s="1288"/>
      <c r="Q45" s="1288"/>
      <c r="R45" s="1289"/>
      <c r="S45" s="894"/>
      <c r="T45" s="894"/>
      <c r="U45" s="861"/>
    </row>
    <row r="46" spans="1:22" ht="15" customHeight="1" x14ac:dyDescent="0.25">
      <c r="A46" s="1171" t="s">
        <v>213</v>
      </c>
      <c r="B46" s="1283"/>
      <c r="C46" s="1283"/>
      <c r="D46" s="1283"/>
      <c r="E46" s="1283"/>
      <c r="F46" s="1283"/>
      <c r="G46" s="1283"/>
      <c r="H46" s="1283"/>
      <c r="I46" s="1283"/>
      <c r="J46" s="1283"/>
      <c r="K46" s="1283"/>
      <c r="L46" s="1283"/>
      <c r="M46" s="1283"/>
      <c r="N46" s="1283"/>
      <c r="O46" s="1283"/>
      <c r="P46" s="1283"/>
      <c r="Q46" s="1283"/>
      <c r="R46" s="1284"/>
      <c r="S46" s="892"/>
      <c r="T46" s="892"/>
    </row>
    <row r="47" spans="1:22" ht="36.950000000000003" customHeight="1" x14ac:dyDescent="0.25">
      <c r="A47" s="7">
        <v>7021</v>
      </c>
      <c r="B47" s="20" t="s">
        <v>214</v>
      </c>
      <c r="C47" s="17" t="s">
        <v>75</v>
      </c>
      <c r="D47" s="8">
        <v>0.04</v>
      </c>
      <c r="E47" s="8">
        <v>0.03</v>
      </c>
      <c r="F47" s="18">
        <v>1.4</v>
      </c>
      <c r="G47" s="8">
        <v>1</v>
      </c>
      <c r="H47" s="8">
        <v>1</v>
      </c>
      <c r="I47" s="8" t="s">
        <v>47</v>
      </c>
      <c r="J47" s="8">
        <v>1</v>
      </c>
      <c r="K47" s="8">
        <v>0.5</v>
      </c>
      <c r="L47" s="8">
        <v>0.1</v>
      </c>
      <c r="M47" s="8">
        <v>0.56000000000000005</v>
      </c>
      <c r="N47" s="8" t="s">
        <v>16</v>
      </c>
      <c r="O47" s="19" t="s">
        <v>49</v>
      </c>
      <c r="P47" s="8">
        <v>0</v>
      </c>
      <c r="Q47" s="8">
        <f t="shared" ref="Q47" si="0">ROUND(((D47*E47*F47*G47*H47*J47*L47*1000000*K47/3600)*(1-P47)),4)</f>
        <v>2.3300000000000001E-2</v>
      </c>
      <c r="R47" s="8">
        <f>ROUND((D47*E47*F47*G47*H47*J47*K47*M47*(1-P47)),4)</f>
        <v>5.0000000000000001E-4</v>
      </c>
      <c r="S47" s="65"/>
      <c r="T47" s="65"/>
    </row>
    <row r="48" spans="1:22" ht="15" customHeight="1" x14ac:dyDescent="0.25">
      <c r="A48" s="1171" t="s">
        <v>244</v>
      </c>
      <c r="B48" s="1283"/>
      <c r="C48" s="1283"/>
      <c r="D48" s="1283"/>
      <c r="E48" s="1283"/>
      <c r="F48" s="1283"/>
      <c r="G48" s="1283"/>
      <c r="H48" s="1283"/>
      <c r="I48" s="1283"/>
      <c r="J48" s="1283"/>
      <c r="K48" s="1283"/>
      <c r="L48" s="1283"/>
      <c r="M48" s="1283"/>
      <c r="N48" s="1283"/>
      <c r="O48" s="1283"/>
      <c r="P48" s="1283"/>
      <c r="Q48" s="1283"/>
      <c r="R48" s="1284"/>
      <c r="S48" s="895"/>
      <c r="T48" s="895"/>
    </row>
    <row r="49" spans="1:22" ht="24" customHeight="1" x14ac:dyDescent="0.25">
      <c r="A49" s="1209">
        <v>7049</v>
      </c>
      <c r="B49" s="8" t="s">
        <v>252</v>
      </c>
      <c r="C49" s="17" t="s">
        <v>253</v>
      </c>
      <c r="D49" s="8">
        <v>0.04</v>
      </c>
      <c r="E49" s="8">
        <v>0.03</v>
      </c>
      <c r="F49" s="18">
        <v>1.4</v>
      </c>
      <c r="G49" s="8">
        <v>1</v>
      </c>
      <c r="H49" s="8">
        <v>1</v>
      </c>
      <c r="I49" s="8" t="s">
        <v>47</v>
      </c>
      <c r="J49" s="8">
        <v>1</v>
      </c>
      <c r="K49" s="8">
        <v>0.5</v>
      </c>
      <c r="L49" s="8">
        <v>1</v>
      </c>
      <c r="M49" s="8">
        <v>4.8219000000000003</v>
      </c>
      <c r="N49" s="8" t="s">
        <v>16</v>
      </c>
      <c r="O49" s="19" t="s">
        <v>49</v>
      </c>
      <c r="P49" s="8">
        <v>0</v>
      </c>
      <c r="Q49" s="8">
        <f>ROUND(((D49*E49*F49*G49*H49*J49*L49*1000000*K49/3600)*(1-P49)),4)</f>
        <v>0.23330000000000001</v>
      </c>
      <c r="R49" s="8">
        <f>ROUND((D49*E49*F49*G49*H49*J49*K49*M49*(1-P49)),4)</f>
        <v>4.1000000000000003E-3</v>
      </c>
      <c r="S49" s="65"/>
      <c r="T49" s="65"/>
    </row>
    <row r="50" spans="1:22" ht="36.950000000000003" customHeight="1" x14ac:dyDescent="0.25">
      <c r="A50" s="1220"/>
      <c r="B50" s="8" t="s">
        <v>216</v>
      </c>
      <c r="C50" s="17" t="s">
        <v>217</v>
      </c>
      <c r="D50" s="8">
        <v>0.04</v>
      </c>
      <c r="E50" s="8">
        <v>0.03</v>
      </c>
      <c r="F50" s="18">
        <v>1.4</v>
      </c>
      <c r="G50" s="8">
        <v>1</v>
      </c>
      <c r="H50" s="8">
        <v>1</v>
      </c>
      <c r="I50" s="8" t="s">
        <v>47</v>
      </c>
      <c r="J50" s="8">
        <v>0.8</v>
      </c>
      <c r="K50" s="8">
        <v>0.5</v>
      </c>
      <c r="L50" s="8">
        <v>1</v>
      </c>
      <c r="M50" s="8">
        <v>209.3</v>
      </c>
      <c r="N50" s="8" t="s">
        <v>16</v>
      </c>
      <c r="O50" s="19" t="s">
        <v>49</v>
      </c>
      <c r="P50" s="8">
        <v>0.8</v>
      </c>
      <c r="Q50" s="8">
        <f>ROUND(((D50*E50*F50*G50*H50*J50*L50*1000000*K50/3600)*(1-P50)),4)</f>
        <v>3.73E-2</v>
      </c>
      <c r="R50" s="8">
        <f>ROUND((D50*E50*F50*G50*H50*J50*K50*M50*(1-P50)),4)</f>
        <v>2.81E-2</v>
      </c>
      <c r="S50" s="65"/>
      <c r="T50" s="65"/>
    </row>
    <row r="51" spans="1:22" ht="25.5" x14ac:dyDescent="0.25">
      <c r="A51" s="1221"/>
      <c r="B51" s="8" t="s">
        <v>238</v>
      </c>
      <c r="C51" s="17" t="s">
        <v>126</v>
      </c>
      <c r="D51" s="8">
        <v>0.08</v>
      </c>
      <c r="E51" s="8">
        <v>0.04</v>
      </c>
      <c r="F51" s="18">
        <v>1.4</v>
      </c>
      <c r="G51" s="8">
        <v>1</v>
      </c>
      <c r="H51" s="8">
        <v>1</v>
      </c>
      <c r="I51" s="8" t="s">
        <v>47</v>
      </c>
      <c r="J51" s="8">
        <v>1</v>
      </c>
      <c r="K51" s="8">
        <v>0.5</v>
      </c>
      <c r="L51" s="8">
        <v>0.1</v>
      </c>
      <c r="M51" s="8">
        <v>0.59</v>
      </c>
      <c r="N51" s="8" t="s">
        <v>16</v>
      </c>
      <c r="O51" s="19" t="s">
        <v>49</v>
      </c>
      <c r="P51" s="8">
        <v>0</v>
      </c>
      <c r="Q51" s="8">
        <f>ROUND(((D51*E51*F51*G51*H51*J51*L51*1000000*K51/3600)*(1-P51)),4)</f>
        <v>6.2199999999999998E-2</v>
      </c>
      <c r="R51" s="8">
        <f>ROUND((D51*E51*F51*G51*H51*J51*K51*M51*(1-P51)),5)</f>
        <v>1.32E-3</v>
      </c>
      <c r="S51" s="65"/>
      <c r="T51" s="65"/>
    </row>
    <row r="52" spans="1:22" x14ac:dyDescent="0.25">
      <c r="A52" s="1206" t="s">
        <v>72</v>
      </c>
      <c r="B52" s="1207"/>
      <c r="C52" s="1207"/>
      <c r="D52" s="1207"/>
      <c r="E52" s="1207"/>
      <c r="F52" s="1207"/>
      <c r="G52" s="1207"/>
      <c r="H52" s="1207"/>
      <c r="I52" s="1207"/>
      <c r="J52" s="1207"/>
      <c r="K52" s="1207"/>
      <c r="L52" s="1207"/>
      <c r="M52" s="1207"/>
      <c r="N52" s="1207"/>
      <c r="O52" s="1207"/>
      <c r="P52" s="1207"/>
      <c r="Q52" s="1207"/>
      <c r="R52" s="1208"/>
      <c r="S52" s="893"/>
      <c r="T52" s="893"/>
    </row>
    <row r="53" spans="1:22" ht="24" customHeight="1" x14ac:dyDescent="0.25">
      <c r="A53" s="1136" t="s">
        <v>430</v>
      </c>
      <c r="B53" s="1137"/>
      <c r="C53" s="1137"/>
      <c r="D53" s="1137"/>
      <c r="E53" s="1137"/>
      <c r="F53" s="1137"/>
      <c r="G53" s="1137"/>
      <c r="H53" s="1137"/>
      <c r="I53" s="1137"/>
      <c r="J53" s="1137"/>
      <c r="K53" s="1137"/>
      <c r="L53" s="1137"/>
      <c r="M53" s="1138"/>
      <c r="N53" s="194" t="s">
        <v>16</v>
      </c>
      <c r="O53" s="225" t="s">
        <v>49</v>
      </c>
      <c r="P53" s="8"/>
      <c r="Q53" s="194">
        <f>MAX(Q49,Q50,Q51)</f>
        <v>0.23330000000000001</v>
      </c>
      <c r="R53" s="194">
        <f>R49+R50+R51</f>
        <v>3.3520000000000001E-2</v>
      </c>
      <c r="S53" s="93"/>
      <c r="T53" s="93"/>
      <c r="U53" s="846"/>
      <c r="V53" s="151"/>
    </row>
    <row r="54" spans="1:22" ht="15" customHeight="1" x14ac:dyDescent="0.25">
      <c r="A54" s="1178" t="s">
        <v>257</v>
      </c>
      <c r="B54" s="1290"/>
      <c r="C54" s="1290"/>
      <c r="D54" s="1290"/>
      <c r="E54" s="1290"/>
      <c r="F54" s="1290"/>
      <c r="G54" s="1290"/>
      <c r="H54" s="1290"/>
      <c r="I54" s="1290"/>
      <c r="J54" s="1290"/>
      <c r="K54" s="1290"/>
      <c r="L54" s="1290"/>
      <c r="M54" s="1290"/>
      <c r="N54" s="1290"/>
      <c r="O54" s="1290"/>
      <c r="P54" s="1290"/>
      <c r="Q54" s="1290"/>
      <c r="R54" s="1291"/>
      <c r="S54" s="892"/>
      <c r="T54" s="892"/>
    </row>
    <row r="55" spans="1:22" ht="25.5" x14ac:dyDescent="0.25">
      <c r="A55" s="1253">
        <v>7061</v>
      </c>
      <c r="B55" s="312" t="s">
        <v>252</v>
      </c>
      <c r="C55" s="306" t="s">
        <v>253</v>
      </c>
      <c r="D55" s="312">
        <v>0.04</v>
      </c>
      <c r="E55" s="312">
        <v>0.03</v>
      </c>
      <c r="F55" s="307">
        <v>1.4</v>
      </c>
      <c r="G55" s="312">
        <v>1</v>
      </c>
      <c r="H55" s="312">
        <v>1</v>
      </c>
      <c r="I55" s="312" t="s">
        <v>47</v>
      </c>
      <c r="J55" s="312">
        <v>1</v>
      </c>
      <c r="K55" s="312">
        <v>0.5</v>
      </c>
      <c r="L55" s="312">
        <v>1</v>
      </c>
      <c r="M55" s="312">
        <v>2.2513000000000001</v>
      </c>
      <c r="N55" s="312" t="s">
        <v>16</v>
      </c>
      <c r="O55" s="325" t="s">
        <v>49</v>
      </c>
      <c r="P55" s="312">
        <v>0</v>
      </c>
      <c r="Q55" s="312">
        <f>ROUND(((D55*E55*F55*G55*H55*J55*L55*1000000*K55/3600)*(1-P55)),4)</f>
        <v>0.23330000000000001</v>
      </c>
      <c r="R55" s="312">
        <f>ROUND((D55*E55*F55*G55*H55*J55*K55*M55*(1-P55)),4)</f>
        <v>1.9E-3</v>
      </c>
      <c r="S55" s="65"/>
      <c r="T55" s="65"/>
    </row>
    <row r="56" spans="1:22" ht="38.25" x14ac:dyDescent="0.25">
      <c r="A56" s="1282"/>
      <c r="B56" s="312" t="s">
        <v>216</v>
      </c>
      <c r="C56" s="306" t="s">
        <v>217</v>
      </c>
      <c r="D56" s="312">
        <v>0.04</v>
      </c>
      <c r="E56" s="312">
        <v>0.03</v>
      </c>
      <c r="F56" s="307">
        <v>1.4</v>
      </c>
      <c r="G56" s="312">
        <v>1</v>
      </c>
      <c r="H56" s="312">
        <v>1</v>
      </c>
      <c r="I56" s="312" t="s">
        <v>47</v>
      </c>
      <c r="J56" s="312">
        <v>0.8</v>
      </c>
      <c r="K56" s="312">
        <v>0.5</v>
      </c>
      <c r="L56" s="312">
        <v>1</v>
      </c>
      <c r="M56" s="312">
        <v>216</v>
      </c>
      <c r="N56" s="312" t="s">
        <v>16</v>
      </c>
      <c r="O56" s="325" t="s">
        <v>49</v>
      </c>
      <c r="P56" s="312">
        <v>0.8</v>
      </c>
      <c r="Q56" s="312">
        <f>ROUND(((D56*E56*F56*G56*H56*J56*L56*1000000*K56/3600)*(1-P56)),4)</f>
        <v>3.73E-2</v>
      </c>
      <c r="R56" s="312">
        <f>ROUND((D56*E56*F56*G56*H56*J56*K56*M56*(1-P56)),4)</f>
        <v>2.9000000000000001E-2</v>
      </c>
      <c r="S56" s="65"/>
      <c r="T56" s="65"/>
    </row>
    <row r="57" spans="1:22" ht="25.5" x14ac:dyDescent="0.25">
      <c r="A57" s="1274"/>
      <c r="B57" s="312" t="s">
        <v>238</v>
      </c>
      <c r="C57" s="306" t="s">
        <v>126</v>
      </c>
      <c r="D57" s="312">
        <v>0.08</v>
      </c>
      <c r="E57" s="312">
        <v>0.04</v>
      </c>
      <c r="F57" s="307">
        <v>1.4</v>
      </c>
      <c r="G57" s="312">
        <v>1</v>
      </c>
      <c r="H57" s="312">
        <v>1</v>
      </c>
      <c r="I57" s="312" t="s">
        <v>47</v>
      </c>
      <c r="J57" s="312">
        <v>1</v>
      </c>
      <c r="K57" s="312">
        <v>0.5</v>
      </c>
      <c r="L57" s="312">
        <v>0.01</v>
      </c>
      <c r="M57" s="312">
        <v>8.6499999999999994E-2</v>
      </c>
      <c r="N57" s="312" t="s">
        <v>16</v>
      </c>
      <c r="O57" s="325" t="s">
        <v>49</v>
      </c>
      <c r="P57" s="312">
        <v>0</v>
      </c>
      <c r="Q57" s="312">
        <f>ROUND(((D57*E57*F57*G57*H57*J57*L57*1000000*K57/3600)*(1-P57)),4)</f>
        <v>6.1999999999999998E-3</v>
      </c>
      <c r="R57" s="312">
        <f>ROUND((D57*E57*F57*G57*H57*J57*K57*M57*(1-P57)),5)</f>
        <v>1.9000000000000001E-4</v>
      </c>
      <c r="S57" s="65"/>
      <c r="T57" s="65"/>
    </row>
    <row r="58" spans="1:22" ht="9.9499999999999993" customHeight="1" x14ac:dyDescent="0.25">
      <c r="A58" s="1250" t="s">
        <v>72</v>
      </c>
      <c r="B58" s="1251"/>
      <c r="C58" s="1251"/>
      <c r="D58" s="1251"/>
      <c r="E58" s="1251"/>
      <c r="F58" s="1251"/>
      <c r="G58" s="1251"/>
      <c r="H58" s="1251"/>
      <c r="I58" s="1251"/>
      <c r="J58" s="1251"/>
      <c r="K58" s="1251"/>
      <c r="L58" s="1251"/>
      <c r="M58" s="1251"/>
      <c r="N58" s="1251"/>
      <c r="O58" s="1251"/>
      <c r="P58" s="1251"/>
      <c r="Q58" s="1251"/>
      <c r="R58" s="1252"/>
      <c r="S58" s="893"/>
      <c r="T58" s="893"/>
    </row>
    <row r="59" spans="1:22" s="147" customFormat="1" ht="24" customHeight="1" x14ac:dyDescent="0.25">
      <c r="A59" s="1139" t="s">
        <v>447</v>
      </c>
      <c r="B59" s="1140"/>
      <c r="C59" s="1140"/>
      <c r="D59" s="1140"/>
      <c r="E59" s="1140"/>
      <c r="F59" s="1140"/>
      <c r="G59" s="1140"/>
      <c r="H59" s="1140"/>
      <c r="I59" s="1140"/>
      <c r="J59" s="1140"/>
      <c r="K59" s="1140"/>
      <c r="L59" s="1140"/>
      <c r="M59" s="1141"/>
      <c r="N59" s="313" t="s">
        <v>16</v>
      </c>
      <c r="O59" s="326" t="s">
        <v>49</v>
      </c>
      <c r="P59" s="312"/>
      <c r="Q59" s="313">
        <f>MAX(Q55,Q56,Q57)</f>
        <v>0.23330000000000001</v>
      </c>
      <c r="R59" s="313">
        <f>R55+R56+R57</f>
        <v>3.109E-2</v>
      </c>
      <c r="S59" s="149"/>
      <c r="T59" s="149"/>
      <c r="U59" s="884"/>
    </row>
    <row r="60" spans="1:22" ht="15" customHeight="1" x14ac:dyDescent="0.25">
      <c r="A60" s="1171" t="s">
        <v>284</v>
      </c>
      <c r="B60" s="1283"/>
      <c r="C60" s="1283"/>
      <c r="D60" s="1283"/>
      <c r="E60" s="1283"/>
      <c r="F60" s="1283"/>
      <c r="G60" s="1283"/>
      <c r="H60" s="1283"/>
      <c r="I60" s="1283"/>
      <c r="J60" s="1283"/>
      <c r="K60" s="1283"/>
      <c r="L60" s="1283"/>
      <c r="M60" s="1283"/>
      <c r="N60" s="1283"/>
      <c r="O60" s="1283"/>
      <c r="P60" s="1283"/>
      <c r="Q60" s="1283"/>
      <c r="R60" s="1284"/>
      <c r="S60" s="892"/>
      <c r="T60" s="892"/>
    </row>
    <row r="61" spans="1:22" ht="38.25" x14ac:dyDescent="0.25">
      <c r="A61" s="7">
        <v>7092</v>
      </c>
      <c r="B61" s="8" t="s">
        <v>216</v>
      </c>
      <c r="C61" s="8" t="s">
        <v>217</v>
      </c>
      <c r="D61" s="8">
        <v>0.04</v>
      </c>
      <c r="E61" s="8">
        <v>0.03</v>
      </c>
      <c r="F61" s="8">
        <v>1.4</v>
      </c>
      <c r="G61" s="8">
        <v>1</v>
      </c>
      <c r="H61" s="8">
        <v>1</v>
      </c>
      <c r="I61" s="8" t="s">
        <v>47</v>
      </c>
      <c r="J61" s="8">
        <v>0.8</v>
      </c>
      <c r="K61" s="8">
        <v>0.5</v>
      </c>
      <c r="L61" s="8">
        <v>1</v>
      </c>
      <c r="M61" s="8">
        <v>201</v>
      </c>
      <c r="N61" s="8" t="s">
        <v>16</v>
      </c>
      <c r="O61" s="19" t="s">
        <v>49</v>
      </c>
      <c r="P61" s="8">
        <v>0.8</v>
      </c>
      <c r="Q61" s="8">
        <f>ROUND(((D61*E61*F61*G61*H61*J61*L61*1000000*K61/3600)*(1-P61)),4)</f>
        <v>3.73E-2</v>
      </c>
      <c r="R61" s="8">
        <f>ROUND((D61*E61*F61*G61*H61*J61*K61*M61*(1-P61)),4)</f>
        <v>2.7E-2</v>
      </c>
      <c r="S61" s="871">
        <f>Q47+Q53+Q59+Q61</f>
        <v>0.5272</v>
      </c>
      <c r="T61" s="871">
        <f>R47+R53+R59+R61</f>
        <v>9.2109999999999997E-2</v>
      </c>
      <c r="U61" s="871">
        <v>2027</v>
      </c>
      <c r="V61" s="60"/>
    </row>
    <row r="62" spans="1:22" s="765" customFormat="1" ht="15" customHeight="1" x14ac:dyDescent="0.35">
      <c r="A62" s="1296" t="s">
        <v>60</v>
      </c>
      <c r="B62" s="1288"/>
      <c r="C62" s="1288"/>
      <c r="D62" s="1288"/>
      <c r="E62" s="1288"/>
      <c r="F62" s="1288"/>
      <c r="G62" s="1288"/>
      <c r="H62" s="1288"/>
      <c r="I62" s="1288"/>
      <c r="J62" s="1288"/>
      <c r="K62" s="1288"/>
      <c r="L62" s="1288"/>
      <c r="M62" s="1288"/>
      <c r="N62" s="1288"/>
      <c r="O62" s="1288"/>
      <c r="P62" s="1288"/>
      <c r="Q62" s="1288"/>
      <c r="R62" s="1289"/>
      <c r="S62" s="891"/>
      <c r="T62" s="891"/>
      <c r="U62" s="881"/>
    </row>
    <row r="63" spans="1:22" ht="15" customHeight="1" x14ac:dyDescent="0.25">
      <c r="A63" s="1171" t="s">
        <v>8</v>
      </c>
      <c r="B63" s="1283"/>
      <c r="C63" s="1283"/>
      <c r="D63" s="1283"/>
      <c r="E63" s="1283"/>
      <c r="F63" s="1283"/>
      <c r="G63" s="1283"/>
      <c r="H63" s="1283"/>
      <c r="I63" s="1283"/>
      <c r="J63" s="1283"/>
      <c r="K63" s="1283"/>
      <c r="L63" s="1283"/>
      <c r="M63" s="1283"/>
      <c r="N63" s="1283"/>
      <c r="O63" s="1283"/>
      <c r="P63" s="1283"/>
      <c r="Q63" s="1283"/>
      <c r="R63" s="1284"/>
      <c r="S63" s="892"/>
      <c r="T63" s="892"/>
    </row>
    <row r="64" spans="1:22" ht="48.75" customHeight="1" x14ac:dyDescent="0.25">
      <c r="A64" s="1192">
        <v>7003</v>
      </c>
      <c r="B64" s="20" t="s">
        <v>314</v>
      </c>
      <c r="C64" s="17" t="s">
        <v>75</v>
      </c>
      <c r="D64" s="8">
        <v>0.04</v>
      </c>
      <c r="E64" s="8">
        <v>0.03</v>
      </c>
      <c r="F64" s="18">
        <v>1.4</v>
      </c>
      <c r="G64" s="8">
        <v>1</v>
      </c>
      <c r="H64" s="8">
        <v>1</v>
      </c>
      <c r="I64" s="8" t="s">
        <v>47</v>
      </c>
      <c r="J64" s="8">
        <v>1</v>
      </c>
      <c r="K64" s="8">
        <v>0.5</v>
      </c>
      <c r="L64" s="8">
        <v>0.1</v>
      </c>
      <c r="M64" s="8">
        <v>0.80620000000000003</v>
      </c>
      <c r="N64" s="8" t="s">
        <v>16</v>
      </c>
      <c r="O64" s="19" t="s">
        <v>49</v>
      </c>
      <c r="P64" s="8">
        <v>0</v>
      </c>
      <c r="Q64" s="8">
        <f t="shared" ref="Q64:Q71" si="1">ROUND(((D64*E64*F64*G64*H64*J64*L64*1000000*K64/3600)*(1-P64)),4)</f>
        <v>2.3300000000000001E-2</v>
      </c>
      <c r="R64" s="8">
        <f>ROUND((D64*E64*F64*G64*H64*J64*K64*M64*(1-P64)),4)</f>
        <v>6.9999999999999999E-4</v>
      </c>
      <c r="S64" s="65"/>
      <c r="T64" s="65"/>
    </row>
    <row r="65" spans="1:20" ht="60.75" customHeight="1" x14ac:dyDescent="0.25">
      <c r="A65" s="1220"/>
      <c r="B65" s="20" t="s">
        <v>1207</v>
      </c>
      <c r="C65" s="17" t="s">
        <v>73</v>
      </c>
      <c r="D65" s="8">
        <v>0.04</v>
      </c>
      <c r="E65" s="8">
        <v>0.03</v>
      </c>
      <c r="F65" s="18">
        <v>1.4</v>
      </c>
      <c r="G65" s="8">
        <v>1</v>
      </c>
      <c r="H65" s="8">
        <v>1</v>
      </c>
      <c r="I65" s="8" t="s">
        <v>47</v>
      </c>
      <c r="J65" s="8">
        <v>1</v>
      </c>
      <c r="K65" s="8">
        <v>0.5</v>
      </c>
      <c r="L65" s="8">
        <v>0.5</v>
      </c>
      <c r="M65" s="8">
        <v>13.2064</v>
      </c>
      <c r="N65" s="8" t="s">
        <v>16</v>
      </c>
      <c r="O65" s="19" t="s">
        <v>49</v>
      </c>
      <c r="P65" s="8">
        <v>0</v>
      </c>
      <c r="Q65" s="8">
        <f t="shared" si="1"/>
        <v>0.1167</v>
      </c>
      <c r="R65" s="8">
        <f>ROUND((D65*E65*F65*G65*H65*J65*K65*M65*(1-P65)),4)</f>
        <v>1.11E-2</v>
      </c>
      <c r="S65" s="65"/>
      <c r="T65" s="65"/>
    </row>
    <row r="66" spans="1:20" ht="63.75" x14ac:dyDescent="0.25">
      <c r="A66" s="1220"/>
      <c r="B66" s="20" t="s">
        <v>74</v>
      </c>
      <c r="C66" s="17" t="s">
        <v>75</v>
      </c>
      <c r="D66" s="8">
        <v>0.04</v>
      </c>
      <c r="E66" s="8">
        <v>0.03</v>
      </c>
      <c r="F66" s="18">
        <v>1.4</v>
      </c>
      <c r="G66" s="8">
        <v>1</v>
      </c>
      <c r="H66" s="8">
        <v>1</v>
      </c>
      <c r="I66" s="8" t="s">
        <v>47</v>
      </c>
      <c r="J66" s="8">
        <v>1</v>
      </c>
      <c r="K66" s="8">
        <v>0.5</v>
      </c>
      <c r="L66" s="8">
        <v>0.5</v>
      </c>
      <c r="M66" s="8">
        <v>63.34</v>
      </c>
      <c r="N66" s="8" t="s">
        <v>16</v>
      </c>
      <c r="O66" s="19" t="s">
        <v>49</v>
      </c>
      <c r="P66" s="8">
        <v>0</v>
      </c>
      <c r="Q66" s="8">
        <f t="shared" si="1"/>
        <v>0.1167</v>
      </c>
      <c r="R66" s="8">
        <f>ROUND((D66*E66*F66*G66*H66*J66*K66*M66*(1-P66)),4)</f>
        <v>5.3199999999999997E-2</v>
      </c>
      <c r="S66" s="65"/>
      <c r="T66" s="65"/>
    </row>
    <row r="67" spans="1:20" ht="51" x14ac:dyDescent="0.25">
      <c r="A67" s="1220"/>
      <c r="B67" s="20" t="s">
        <v>76</v>
      </c>
      <c r="C67" s="17" t="s">
        <v>75</v>
      </c>
      <c r="D67" s="8">
        <v>0.04</v>
      </c>
      <c r="E67" s="8">
        <v>0.03</v>
      </c>
      <c r="F67" s="18">
        <v>1.4</v>
      </c>
      <c r="G67" s="8">
        <v>1</v>
      </c>
      <c r="H67" s="8">
        <v>1</v>
      </c>
      <c r="I67" s="8" t="s">
        <v>47</v>
      </c>
      <c r="J67" s="8">
        <v>1</v>
      </c>
      <c r="K67" s="8">
        <v>0.5</v>
      </c>
      <c r="L67" s="8">
        <v>0.5</v>
      </c>
      <c r="M67" s="8">
        <v>4.46</v>
      </c>
      <c r="N67" s="8" t="s">
        <v>16</v>
      </c>
      <c r="O67" s="19" t="s">
        <v>49</v>
      </c>
      <c r="P67" s="8">
        <v>0</v>
      </c>
      <c r="Q67" s="8">
        <f t="shared" si="1"/>
        <v>0.1167</v>
      </c>
      <c r="R67" s="8">
        <f>ROUND((D67*E67*F67*G67*H67*J67*K67*M67*(1-P67)),4)</f>
        <v>3.7000000000000002E-3</v>
      </c>
      <c r="S67" s="65"/>
      <c r="T67" s="65"/>
    </row>
    <row r="68" spans="1:20" ht="63.75" x14ac:dyDescent="0.25">
      <c r="A68" s="1220"/>
      <c r="B68" s="18" t="s">
        <v>319</v>
      </c>
      <c r="C68" s="17" t="s">
        <v>124</v>
      </c>
      <c r="D68" s="8">
        <v>0.04</v>
      </c>
      <c r="E68" s="8">
        <v>0.03</v>
      </c>
      <c r="F68" s="18">
        <v>1.4</v>
      </c>
      <c r="G68" s="8">
        <v>1</v>
      </c>
      <c r="H68" s="8">
        <v>1</v>
      </c>
      <c r="I68" s="8" t="s">
        <v>47</v>
      </c>
      <c r="J68" s="8">
        <v>1</v>
      </c>
      <c r="K68" s="8">
        <v>0.5</v>
      </c>
      <c r="L68" s="8">
        <v>0.1</v>
      </c>
      <c r="M68" s="8">
        <v>6.79</v>
      </c>
      <c r="N68" s="8" t="s">
        <v>16</v>
      </c>
      <c r="O68" s="19" t="s">
        <v>49</v>
      </c>
      <c r="P68" s="8">
        <v>0</v>
      </c>
      <c r="Q68" s="8">
        <f t="shared" si="1"/>
        <v>2.3300000000000001E-2</v>
      </c>
      <c r="R68" s="8">
        <f>ROUND((D68*E68*F68*G68*H68*J68*K68*M68*(1-P68)),4)</f>
        <v>5.7000000000000002E-3</v>
      </c>
      <c r="S68" s="65"/>
      <c r="T68" s="65"/>
    </row>
    <row r="69" spans="1:20" ht="24" customHeight="1" x14ac:dyDescent="0.25">
      <c r="A69" s="1220"/>
      <c r="B69" s="18" t="s">
        <v>125</v>
      </c>
      <c r="C69" s="17" t="s">
        <v>126</v>
      </c>
      <c r="D69" s="8">
        <v>0.08</v>
      </c>
      <c r="E69" s="8">
        <v>0.04</v>
      </c>
      <c r="F69" s="18">
        <v>1.4</v>
      </c>
      <c r="G69" s="8">
        <v>1</v>
      </c>
      <c r="H69" s="8">
        <v>1</v>
      </c>
      <c r="I69" s="8" t="s">
        <v>47</v>
      </c>
      <c r="J69" s="8">
        <v>1</v>
      </c>
      <c r="K69" s="8">
        <v>0.5</v>
      </c>
      <c r="L69" s="8">
        <v>1E-3</v>
      </c>
      <c r="M69" s="8">
        <v>5.7999999999999996E-3</v>
      </c>
      <c r="N69" s="8" t="s">
        <v>16</v>
      </c>
      <c r="O69" s="19" t="s">
        <v>49</v>
      </c>
      <c r="P69" s="8">
        <v>0</v>
      </c>
      <c r="Q69" s="8">
        <f t="shared" si="1"/>
        <v>5.9999999999999995E-4</v>
      </c>
      <c r="R69" s="8">
        <f>ROUND((D69*E69*F69*G69*H69*J69*K69*M69*(1-P69)),5)</f>
        <v>1.0000000000000001E-5</v>
      </c>
      <c r="S69" s="65"/>
      <c r="T69" s="65"/>
    </row>
    <row r="70" spans="1:20" ht="38.25" x14ac:dyDescent="0.25">
      <c r="A70" s="1220"/>
      <c r="B70" s="18" t="s">
        <v>216</v>
      </c>
      <c r="C70" s="17" t="s">
        <v>217</v>
      </c>
      <c r="D70" s="8">
        <v>0.04</v>
      </c>
      <c r="E70" s="8">
        <v>0.03</v>
      </c>
      <c r="F70" s="18">
        <v>1.4</v>
      </c>
      <c r="G70" s="8">
        <v>1</v>
      </c>
      <c r="H70" s="8">
        <v>1</v>
      </c>
      <c r="I70" s="8" t="s">
        <v>47</v>
      </c>
      <c r="J70" s="8">
        <v>0.8</v>
      </c>
      <c r="K70" s="8">
        <v>0.5</v>
      </c>
      <c r="L70" s="8">
        <v>1</v>
      </c>
      <c r="M70" s="8">
        <v>1.3</v>
      </c>
      <c r="N70" s="8" t="s">
        <v>16</v>
      </c>
      <c r="O70" s="19" t="s">
        <v>49</v>
      </c>
      <c r="P70" s="8">
        <v>0.8</v>
      </c>
      <c r="Q70" s="8">
        <f t="shared" si="1"/>
        <v>3.73E-2</v>
      </c>
      <c r="R70" s="8">
        <f>ROUND((D70*E70*F70*G70*H70*J70*K70*M70*(1-P70)),4)</f>
        <v>2.0000000000000001E-4</v>
      </c>
      <c r="S70" s="65"/>
      <c r="T70" s="65"/>
    </row>
    <row r="71" spans="1:20" ht="36.75" customHeight="1" x14ac:dyDescent="0.25">
      <c r="A71" s="1221"/>
      <c r="B71" s="20" t="s">
        <v>128</v>
      </c>
      <c r="C71" s="17" t="s">
        <v>129</v>
      </c>
      <c r="D71" s="8">
        <v>0.04</v>
      </c>
      <c r="E71" s="8">
        <v>0.03</v>
      </c>
      <c r="F71" s="18">
        <v>1.4</v>
      </c>
      <c r="G71" s="8">
        <v>1</v>
      </c>
      <c r="H71" s="8">
        <v>1</v>
      </c>
      <c r="I71" s="8" t="s">
        <v>47</v>
      </c>
      <c r="J71" s="8">
        <v>1</v>
      </c>
      <c r="K71" s="8">
        <v>0.5</v>
      </c>
      <c r="L71" s="8">
        <v>0.1</v>
      </c>
      <c r="M71" s="8">
        <v>0.15129999999999999</v>
      </c>
      <c r="N71" s="8" t="s">
        <v>16</v>
      </c>
      <c r="O71" s="19" t="s">
        <v>49</v>
      </c>
      <c r="P71" s="8">
        <v>0</v>
      </c>
      <c r="Q71" s="8">
        <f t="shared" si="1"/>
        <v>2.3300000000000001E-2</v>
      </c>
      <c r="R71" s="8">
        <f>ROUND((D71*E71*F71*G71*H71*J71*K71*M71*(1-P71)),5)</f>
        <v>1.2999999999999999E-4</v>
      </c>
      <c r="S71" s="65"/>
      <c r="T71" s="65"/>
    </row>
    <row r="72" spans="1:20" ht="9.9499999999999993" customHeight="1" x14ac:dyDescent="0.25">
      <c r="A72" s="1206" t="s">
        <v>72</v>
      </c>
      <c r="B72" s="1207"/>
      <c r="C72" s="1207"/>
      <c r="D72" s="1207"/>
      <c r="E72" s="1207"/>
      <c r="F72" s="1207"/>
      <c r="G72" s="1207"/>
      <c r="H72" s="1207"/>
      <c r="I72" s="1207"/>
      <c r="J72" s="1207"/>
      <c r="K72" s="1207"/>
      <c r="L72" s="1207"/>
      <c r="M72" s="1207"/>
      <c r="N72" s="1207"/>
      <c r="O72" s="1207"/>
      <c r="P72" s="1207"/>
      <c r="Q72" s="1207"/>
      <c r="R72" s="1208"/>
      <c r="S72" s="893"/>
      <c r="T72" s="893"/>
    </row>
    <row r="73" spans="1:20" ht="24" customHeight="1" x14ac:dyDescent="0.25">
      <c r="A73" s="1136" t="s">
        <v>312</v>
      </c>
      <c r="B73" s="1137"/>
      <c r="C73" s="1137"/>
      <c r="D73" s="1137"/>
      <c r="E73" s="1137"/>
      <c r="F73" s="1137"/>
      <c r="G73" s="1137"/>
      <c r="H73" s="1137"/>
      <c r="I73" s="1137"/>
      <c r="J73" s="1137"/>
      <c r="K73" s="1137"/>
      <c r="L73" s="1137"/>
      <c r="M73" s="1138"/>
      <c r="N73" s="194" t="s">
        <v>16</v>
      </c>
      <c r="O73" s="225" t="s">
        <v>49</v>
      </c>
      <c r="P73" s="8"/>
      <c r="Q73" s="194">
        <f>MAX(Q65,Q66,Q67,Q68,Q71,Q69,Q70,Q64)</f>
        <v>0.1167</v>
      </c>
      <c r="R73" s="194">
        <f>R65+R66+R67+R68+R71+R69+R70+R64</f>
        <v>7.4740000000000001E-2</v>
      </c>
      <c r="S73" s="65"/>
      <c r="T73" s="65"/>
    </row>
    <row r="74" spans="1:20" ht="15" customHeight="1" x14ac:dyDescent="0.25">
      <c r="A74" s="1171" t="s">
        <v>213</v>
      </c>
      <c r="B74" s="1283"/>
      <c r="C74" s="1283"/>
      <c r="D74" s="1283"/>
      <c r="E74" s="1283"/>
      <c r="F74" s="1283"/>
      <c r="G74" s="1283"/>
      <c r="H74" s="1283"/>
      <c r="I74" s="1283"/>
      <c r="J74" s="1283"/>
      <c r="K74" s="1283"/>
      <c r="L74" s="1283"/>
      <c r="M74" s="1283"/>
      <c r="N74" s="1283"/>
      <c r="O74" s="1283"/>
      <c r="P74" s="1283"/>
      <c r="Q74" s="1283"/>
      <c r="R74" s="1284"/>
      <c r="S74" s="892"/>
      <c r="T74" s="892"/>
    </row>
    <row r="75" spans="1:20" ht="37.5" customHeight="1" x14ac:dyDescent="0.25">
      <c r="A75" s="7">
        <v>7021</v>
      </c>
      <c r="B75" s="20" t="s">
        <v>214</v>
      </c>
      <c r="C75" s="17" t="s">
        <v>75</v>
      </c>
      <c r="D75" s="8">
        <v>0.04</v>
      </c>
      <c r="E75" s="8">
        <v>0.03</v>
      </c>
      <c r="F75" s="18">
        <v>1.4</v>
      </c>
      <c r="G75" s="8">
        <v>1</v>
      </c>
      <c r="H75" s="8">
        <v>1</v>
      </c>
      <c r="I75" s="8" t="s">
        <v>47</v>
      </c>
      <c r="J75" s="8">
        <v>1</v>
      </c>
      <c r="K75" s="8">
        <v>0.5</v>
      </c>
      <c r="L75" s="8">
        <v>0.1</v>
      </c>
      <c r="M75" s="8">
        <v>0.54</v>
      </c>
      <c r="N75" s="8" t="s">
        <v>16</v>
      </c>
      <c r="O75" s="19" t="s">
        <v>49</v>
      </c>
      <c r="P75" s="8">
        <v>0</v>
      </c>
      <c r="Q75" s="8">
        <f t="shared" ref="Q75" si="2">ROUND(((D75*E75*F75*G75*H75*J75*L75*1000000*K75/3600)*(1-P75)),4)</f>
        <v>2.3300000000000001E-2</v>
      </c>
      <c r="R75" s="8">
        <f>ROUND((D75*E75*F75*G75*H75*J75*K75*M75*(1-P75)),4)</f>
        <v>5.0000000000000001E-4</v>
      </c>
      <c r="S75" s="65"/>
      <c r="T75" s="65"/>
    </row>
    <row r="76" spans="1:20" ht="15" customHeight="1" x14ac:dyDescent="0.25">
      <c r="A76" s="1171" t="s">
        <v>215</v>
      </c>
      <c r="B76" s="1283"/>
      <c r="C76" s="1283"/>
      <c r="D76" s="1283"/>
      <c r="E76" s="1283"/>
      <c r="F76" s="1283"/>
      <c r="G76" s="1283"/>
      <c r="H76" s="1283"/>
      <c r="I76" s="1283"/>
      <c r="J76" s="1283"/>
      <c r="K76" s="1283"/>
      <c r="L76" s="1283"/>
      <c r="M76" s="1283"/>
      <c r="N76" s="1283"/>
      <c r="O76" s="1283"/>
      <c r="P76" s="1283"/>
      <c r="Q76" s="1283"/>
      <c r="R76" s="1284"/>
      <c r="S76" s="892"/>
      <c r="T76" s="892"/>
    </row>
    <row r="77" spans="1:20" ht="38.25" x14ac:dyDescent="0.25">
      <c r="A77" s="1301">
        <v>7027</v>
      </c>
      <c r="B77" s="8" t="s">
        <v>216</v>
      </c>
      <c r="C77" s="17" t="s">
        <v>217</v>
      </c>
      <c r="D77" s="8">
        <v>0.04</v>
      </c>
      <c r="E77" s="8">
        <v>0.03</v>
      </c>
      <c r="F77" s="18">
        <v>1.4</v>
      </c>
      <c r="G77" s="8">
        <v>1</v>
      </c>
      <c r="H77" s="8">
        <v>1</v>
      </c>
      <c r="I77" s="8" t="s">
        <v>47</v>
      </c>
      <c r="J77" s="8">
        <v>0.8</v>
      </c>
      <c r="K77" s="8">
        <v>0.5</v>
      </c>
      <c r="L77" s="8">
        <v>1</v>
      </c>
      <c r="M77" s="8">
        <v>424</v>
      </c>
      <c r="N77" s="8" t="s">
        <v>16</v>
      </c>
      <c r="O77" s="19" t="s">
        <v>49</v>
      </c>
      <c r="P77" s="8">
        <v>0.8</v>
      </c>
      <c r="Q77" s="8">
        <f>ROUND(((D77*E77*F77*G77*H77*J77*L77*1000000*K77/3600)*(1-P77)),4)</f>
        <v>3.73E-2</v>
      </c>
      <c r="R77" s="8">
        <f>ROUND((D77*E77*F77*G77*H77*J77*K77*M77*(1-P77)),4)</f>
        <v>5.7000000000000002E-2</v>
      </c>
      <c r="S77" s="65"/>
      <c r="T77" s="65"/>
    </row>
    <row r="78" spans="1:20" ht="63.75" x14ac:dyDescent="0.25">
      <c r="A78" s="1302"/>
      <c r="B78" s="8" t="s">
        <v>218</v>
      </c>
      <c r="C78" s="17" t="s">
        <v>73</v>
      </c>
      <c r="D78" s="8">
        <v>0.04</v>
      </c>
      <c r="E78" s="8">
        <v>0.03</v>
      </c>
      <c r="F78" s="18">
        <v>1.4</v>
      </c>
      <c r="G78" s="8">
        <v>1</v>
      </c>
      <c r="H78" s="8">
        <v>1</v>
      </c>
      <c r="I78" s="8" t="s">
        <v>47</v>
      </c>
      <c r="J78" s="8">
        <v>1</v>
      </c>
      <c r="K78" s="8">
        <v>0.5</v>
      </c>
      <c r="L78" s="8">
        <v>1</v>
      </c>
      <c r="M78" s="8">
        <v>2.5859999999999999</v>
      </c>
      <c r="N78" s="8" t="s">
        <v>16</v>
      </c>
      <c r="O78" s="19" t="s">
        <v>49</v>
      </c>
      <c r="P78" s="8">
        <v>0</v>
      </c>
      <c r="Q78" s="8">
        <f>ROUND(((D78*E78*F78*G78*H78*J78*L78*1000000*K78/3600)*(1-P78)),4)</f>
        <v>0.23330000000000001</v>
      </c>
      <c r="R78" s="8">
        <f>ROUND((D78*E78*F78*G78*H78*J78*K78*M78*(1-P78)),4)</f>
        <v>2.2000000000000001E-3</v>
      </c>
      <c r="S78" s="65"/>
      <c r="T78" s="65"/>
    </row>
    <row r="79" spans="1:20" ht="35.25" customHeight="1" x14ac:dyDescent="0.25">
      <c r="A79" s="1302"/>
      <c r="B79" s="8" t="s">
        <v>128</v>
      </c>
      <c r="C79" s="17" t="s">
        <v>129</v>
      </c>
      <c r="D79" s="8">
        <v>0.04</v>
      </c>
      <c r="E79" s="8">
        <v>0.03</v>
      </c>
      <c r="F79" s="18">
        <v>1.4</v>
      </c>
      <c r="G79" s="8">
        <v>1</v>
      </c>
      <c r="H79" s="8">
        <v>1</v>
      </c>
      <c r="I79" s="8" t="s">
        <v>47</v>
      </c>
      <c r="J79" s="8">
        <v>1</v>
      </c>
      <c r="K79" s="8">
        <v>0.5</v>
      </c>
      <c r="L79" s="8">
        <v>1</v>
      </c>
      <c r="M79" s="8">
        <v>16.4725</v>
      </c>
      <c r="N79" s="8" t="s">
        <v>16</v>
      </c>
      <c r="O79" s="19" t="s">
        <v>49</v>
      </c>
      <c r="P79" s="8">
        <v>0</v>
      </c>
      <c r="Q79" s="8">
        <f>ROUND(((D79*E79*F79*G79*H79*J79*L79*1000000*K79/3600)*(1-P79)),4)</f>
        <v>0.23330000000000001</v>
      </c>
      <c r="R79" s="8">
        <f>ROUND((D79*E79*F79*G79*H79*J79*K79*M79*(1-P79)),4)</f>
        <v>1.38E-2</v>
      </c>
      <c r="S79" s="65"/>
      <c r="T79" s="65"/>
    </row>
    <row r="80" spans="1:20" x14ac:dyDescent="0.25">
      <c r="A80" s="1206" t="s">
        <v>72</v>
      </c>
      <c r="B80" s="1207"/>
      <c r="C80" s="1207"/>
      <c r="D80" s="1207"/>
      <c r="E80" s="1207"/>
      <c r="F80" s="1207"/>
      <c r="G80" s="1207"/>
      <c r="H80" s="1207"/>
      <c r="I80" s="1207"/>
      <c r="J80" s="1207"/>
      <c r="K80" s="1207"/>
      <c r="L80" s="1207"/>
      <c r="M80" s="1207"/>
      <c r="N80" s="1207"/>
      <c r="O80" s="1207"/>
      <c r="P80" s="1207"/>
      <c r="Q80" s="1207"/>
      <c r="R80" s="1208"/>
      <c r="S80" s="893"/>
      <c r="T80" s="893"/>
    </row>
    <row r="81" spans="1:22" s="147" customFormat="1" ht="25.5" x14ac:dyDescent="0.25">
      <c r="A81" s="1136" t="s">
        <v>374</v>
      </c>
      <c r="B81" s="1137"/>
      <c r="C81" s="1137"/>
      <c r="D81" s="1137"/>
      <c r="E81" s="1137"/>
      <c r="F81" s="1137"/>
      <c r="G81" s="1137"/>
      <c r="H81" s="1137"/>
      <c r="I81" s="1137"/>
      <c r="J81" s="1137"/>
      <c r="K81" s="1137"/>
      <c r="L81" s="1137"/>
      <c r="M81" s="1138"/>
      <c r="N81" s="194" t="s">
        <v>16</v>
      </c>
      <c r="O81" s="225" t="s">
        <v>49</v>
      </c>
      <c r="P81" s="8"/>
      <c r="Q81" s="194">
        <f>MAX(Q77,Q78,Q79)</f>
        <v>0.23330000000000001</v>
      </c>
      <c r="R81" s="194">
        <f>R77+R78+R79</f>
        <v>7.3000000000000009E-2</v>
      </c>
      <c r="S81" s="149"/>
      <c r="T81" s="149"/>
      <c r="U81" s="884"/>
    </row>
    <row r="82" spans="1:22" ht="15" customHeight="1" x14ac:dyDescent="0.25">
      <c r="A82" s="1171" t="s">
        <v>233</v>
      </c>
      <c r="B82" s="1283"/>
      <c r="C82" s="1283"/>
      <c r="D82" s="1283"/>
      <c r="E82" s="1283"/>
      <c r="F82" s="1283"/>
      <c r="G82" s="1283"/>
      <c r="H82" s="1283"/>
      <c r="I82" s="1283"/>
      <c r="J82" s="1283"/>
      <c r="K82" s="1283"/>
      <c r="L82" s="1283"/>
      <c r="M82" s="1283"/>
      <c r="N82" s="1283"/>
      <c r="O82" s="1283"/>
      <c r="P82" s="1283"/>
      <c r="Q82" s="1283"/>
      <c r="R82" s="1284"/>
      <c r="S82" s="892"/>
      <c r="T82" s="892"/>
    </row>
    <row r="83" spans="1:22" ht="36.950000000000003" customHeight="1" x14ac:dyDescent="0.25">
      <c r="A83" s="1301">
        <v>7038</v>
      </c>
      <c r="B83" s="8" t="s">
        <v>216</v>
      </c>
      <c r="C83" s="17" t="s">
        <v>217</v>
      </c>
      <c r="D83" s="8">
        <v>0.04</v>
      </c>
      <c r="E83" s="8">
        <v>0.03</v>
      </c>
      <c r="F83" s="18">
        <v>1.4</v>
      </c>
      <c r="G83" s="8">
        <v>1</v>
      </c>
      <c r="H83" s="8">
        <v>1</v>
      </c>
      <c r="I83" s="8" t="s">
        <v>47</v>
      </c>
      <c r="J83" s="8">
        <v>0.8</v>
      </c>
      <c r="K83" s="8">
        <v>0.5</v>
      </c>
      <c r="L83" s="8">
        <v>10</v>
      </c>
      <c r="M83" s="8">
        <v>9085</v>
      </c>
      <c r="N83" s="8" t="s">
        <v>16</v>
      </c>
      <c r="O83" s="19" t="s">
        <v>49</v>
      </c>
      <c r="P83" s="8">
        <v>0.8</v>
      </c>
      <c r="Q83" s="8">
        <f>ROUND(((D83*E83*F83*G83*H83*J83*L83*1000000*K83/3600)*(1-P83)),4)</f>
        <v>0.37330000000000002</v>
      </c>
      <c r="R83" s="8">
        <f>ROUND((D83*E83*F83*G83*H83*J83*K83*M83*(1-P83)),4)</f>
        <v>1.2210000000000001</v>
      </c>
      <c r="S83" s="93"/>
      <c r="T83" s="93"/>
    </row>
    <row r="84" spans="1:22" ht="24" customHeight="1" x14ac:dyDescent="0.25">
      <c r="A84" s="1302"/>
      <c r="B84" s="8" t="s">
        <v>238</v>
      </c>
      <c r="C84" s="17" t="s">
        <v>126</v>
      </c>
      <c r="D84" s="8">
        <v>0.08</v>
      </c>
      <c r="E84" s="8">
        <v>0.04</v>
      </c>
      <c r="F84" s="18">
        <v>1.4</v>
      </c>
      <c r="G84" s="8">
        <v>1</v>
      </c>
      <c r="H84" s="8">
        <v>1</v>
      </c>
      <c r="I84" s="8" t="s">
        <v>47</v>
      </c>
      <c r="J84" s="8">
        <v>1</v>
      </c>
      <c r="K84" s="8">
        <v>0.5</v>
      </c>
      <c r="L84" s="8">
        <v>0.5</v>
      </c>
      <c r="M84" s="8">
        <v>47.1372</v>
      </c>
      <c r="N84" s="8" t="s">
        <v>16</v>
      </c>
      <c r="O84" s="19" t="s">
        <v>49</v>
      </c>
      <c r="P84" s="8">
        <v>0</v>
      </c>
      <c r="Q84" s="8">
        <f>ROUND(((D84*E84*F84*G84*H84*J84*L84*1000000*K84/3600)*(1-P84)),4)</f>
        <v>0.31109999999999999</v>
      </c>
      <c r="R84" s="8">
        <f>ROUND((D84*E84*F84*G84*H84*J84*K84*M84*(1-P84)),4)</f>
        <v>0.1056</v>
      </c>
      <c r="S84" s="65"/>
      <c r="T84" s="65"/>
    </row>
    <row r="85" spans="1:22" ht="36.950000000000003" customHeight="1" x14ac:dyDescent="0.25">
      <c r="A85" s="1302"/>
      <c r="B85" s="8" t="s">
        <v>236</v>
      </c>
      <c r="C85" s="17" t="s">
        <v>129</v>
      </c>
      <c r="D85" s="8">
        <v>0.04</v>
      </c>
      <c r="E85" s="8">
        <v>0.03</v>
      </c>
      <c r="F85" s="18">
        <v>1.4</v>
      </c>
      <c r="G85" s="8">
        <v>1</v>
      </c>
      <c r="H85" s="8">
        <v>1</v>
      </c>
      <c r="I85" s="8" t="s">
        <v>47</v>
      </c>
      <c r="J85" s="8">
        <v>1</v>
      </c>
      <c r="K85" s="8">
        <v>0.5</v>
      </c>
      <c r="L85" s="8">
        <v>1</v>
      </c>
      <c r="M85" s="8">
        <v>3.7538</v>
      </c>
      <c r="N85" s="8" t="s">
        <v>16</v>
      </c>
      <c r="O85" s="19" t="s">
        <v>49</v>
      </c>
      <c r="P85" s="8">
        <v>0</v>
      </c>
      <c r="Q85" s="8">
        <f>ROUND(((D85*E85*F85*G85*H85*J85*L85*1000000*K85/3600)*(1-P85)),4)</f>
        <v>0.23330000000000001</v>
      </c>
      <c r="R85" s="8">
        <f>ROUND((D85*E85*F85*G85*H85*J85*K85*M85*(1-P85)),4)</f>
        <v>3.2000000000000002E-3</v>
      </c>
      <c r="S85" s="65"/>
      <c r="T85" s="65"/>
    </row>
    <row r="86" spans="1:22" ht="9.9499999999999993" customHeight="1" x14ac:dyDescent="0.25">
      <c r="A86" s="1206" t="s">
        <v>72</v>
      </c>
      <c r="B86" s="1207"/>
      <c r="C86" s="1207"/>
      <c r="D86" s="1207"/>
      <c r="E86" s="1207"/>
      <c r="F86" s="1207"/>
      <c r="G86" s="1207"/>
      <c r="H86" s="1207"/>
      <c r="I86" s="1207"/>
      <c r="J86" s="1207"/>
      <c r="K86" s="1207"/>
      <c r="L86" s="1207"/>
      <c r="M86" s="1207"/>
      <c r="N86" s="1207"/>
      <c r="O86" s="1207"/>
      <c r="P86" s="1207"/>
      <c r="Q86" s="1207"/>
      <c r="R86" s="1208"/>
      <c r="S86" s="893"/>
      <c r="T86" s="893"/>
    </row>
    <row r="87" spans="1:22" ht="25.5" x14ac:dyDescent="0.25">
      <c r="A87" s="1136" t="s">
        <v>413</v>
      </c>
      <c r="B87" s="1137"/>
      <c r="C87" s="1137"/>
      <c r="D87" s="1137"/>
      <c r="E87" s="1137"/>
      <c r="F87" s="1137"/>
      <c r="G87" s="1137"/>
      <c r="H87" s="1137"/>
      <c r="I87" s="1137"/>
      <c r="J87" s="1137"/>
      <c r="K87" s="1137"/>
      <c r="L87" s="1137"/>
      <c r="M87" s="1138"/>
      <c r="N87" s="194" t="s">
        <v>16</v>
      </c>
      <c r="O87" s="225" t="s">
        <v>49</v>
      </c>
      <c r="P87" s="8"/>
      <c r="Q87" s="194">
        <f>MAX(Q83,Q84,Q85)</f>
        <v>0.37330000000000002</v>
      </c>
      <c r="R87" s="194">
        <f>R83+R84+R85</f>
        <v>1.3298000000000001</v>
      </c>
      <c r="S87" s="866"/>
      <c r="T87" s="849"/>
      <c r="U87" s="849"/>
      <c r="V87" s="60"/>
    </row>
    <row r="88" spans="1:22" ht="15" customHeight="1" x14ac:dyDescent="0.25">
      <c r="A88" s="1308" t="s">
        <v>261</v>
      </c>
      <c r="B88" s="1309"/>
      <c r="C88" s="1309"/>
      <c r="D88" s="1309"/>
      <c r="E88" s="1309"/>
      <c r="F88" s="1309"/>
      <c r="G88" s="1309"/>
      <c r="H88" s="1309"/>
      <c r="I88" s="1309"/>
      <c r="J88" s="1309"/>
      <c r="K88" s="1309"/>
      <c r="L88" s="1309"/>
      <c r="M88" s="1309"/>
      <c r="N88" s="1309"/>
      <c r="O88" s="1309"/>
      <c r="P88" s="1309"/>
      <c r="Q88" s="1309"/>
      <c r="R88" s="1310"/>
      <c r="S88" s="849"/>
      <c r="T88" s="849"/>
      <c r="U88" s="849"/>
      <c r="V88" s="60"/>
    </row>
    <row r="89" spans="1:22" ht="36.950000000000003" customHeight="1" x14ac:dyDescent="0.25">
      <c r="A89" s="7">
        <v>7073</v>
      </c>
      <c r="B89" s="8" t="s">
        <v>263</v>
      </c>
      <c r="C89" s="17" t="s">
        <v>262</v>
      </c>
      <c r="D89" s="8">
        <v>0.04</v>
      </c>
      <c r="E89" s="8">
        <v>0.03</v>
      </c>
      <c r="F89" s="18">
        <v>1.4</v>
      </c>
      <c r="G89" s="8">
        <v>1</v>
      </c>
      <c r="H89" s="8">
        <v>1</v>
      </c>
      <c r="I89" s="8" t="s">
        <v>47</v>
      </c>
      <c r="J89" s="8">
        <v>0.8</v>
      </c>
      <c r="K89" s="8">
        <v>0.5</v>
      </c>
      <c r="L89" s="8">
        <v>0.1</v>
      </c>
      <c r="M89" s="8">
        <v>0.30070000000000002</v>
      </c>
      <c r="N89" s="8" t="s">
        <v>16</v>
      </c>
      <c r="O89" s="19" t="s">
        <v>49</v>
      </c>
      <c r="P89" s="8">
        <v>0.8</v>
      </c>
      <c r="Q89" s="8">
        <f>ROUND(((D89*E89*F89*G89*H89*J89*L89*1000000*K89/3600)*(1-P89)),4)</f>
        <v>3.7000000000000002E-3</v>
      </c>
      <c r="R89" s="8">
        <f>ROUND((D89*E89*F89*G89*H89*J89*K89*M89*(1-P89)),5)</f>
        <v>4.0000000000000003E-5</v>
      </c>
      <c r="S89" s="849"/>
      <c r="T89" s="849"/>
      <c r="U89" s="849"/>
      <c r="V89" s="60"/>
    </row>
    <row r="90" spans="1:22" ht="15" customHeight="1" x14ac:dyDescent="0.3">
      <c r="A90" s="1296" t="s">
        <v>63</v>
      </c>
      <c r="B90" s="1288"/>
      <c r="C90" s="1288"/>
      <c r="D90" s="1288"/>
      <c r="E90" s="1288"/>
      <c r="F90" s="1288"/>
      <c r="G90" s="1288"/>
      <c r="H90" s="1288"/>
      <c r="I90" s="1288"/>
      <c r="J90" s="1288"/>
      <c r="K90" s="1288"/>
      <c r="L90" s="1288"/>
      <c r="M90" s="1288"/>
      <c r="N90" s="1288"/>
      <c r="O90" s="1288"/>
      <c r="P90" s="1288"/>
      <c r="Q90" s="1288"/>
      <c r="R90" s="1289"/>
      <c r="S90" s="871">
        <f>Q73+Q75+Q81+Q87+Q89</f>
        <v>0.75030000000000008</v>
      </c>
      <c r="T90" s="871">
        <f>R73+R75+R81+R87+R89</f>
        <v>1.4780800000000001</v>
      </c>
      <c r="U90" s="871">
        <v>2028</v>
      </c>
    </row>
    <row r="91" spans="1:22" ht="15" customHeight="1" x14ac:dyDescent="0.25">
      <c r="A91" s="1171" t="s">
        <v>8</v>
      </c>
      <c r="B91" s="1283"/>
      <c r="C91" s="1283"/>
      <c r="D91" s="1283"/>
      <c r="E91" s="1283"/>
      <c r="F91" s="1283"/>
      <c r="G91" s="1283"/>
      <c r="H91" s="1283"/>
      <c r="I91" s="1283"/>
      <c r="J91" s="1283"/>
      <c r="K91" s="1283"/>
      <c r="L91" s="1283"/>
      <c r="M91" s="1283"/>
      <c r="N91" s="1283"/>
      <c r="O91" s="1283"/>
      <c r="P91" s="1283"/>
      <c r="Q91" s="1283"/>
      <c r="R91" s="1284"/>
      <c r="S91" s="892"/>
      <c r="T91" s="892"/>
    </row>
    <row r="92" spans="1:22" ht="51" x14ac:dyDescent="0.25">
      <c r="A92" s="1192">
        <v>7003</v>
      </c>
      <c r="B92" s="20" t="s">
        <v>314</v>
      </c>
      <c r="C92" s="17" t="s">
        <v>75</v>
      </c>
      <c r="D92" s="8">
        <v>0.04</v>
      </c>
      <c r="E92" s="8">
        <v>0.03</v>
      </c>
      <c r="F92" s="18">
        <v>1.4</v>
      </c>
      <c r="G92" s="8">
        <v>1</v>
      </c>
      <c r="H92" s="8">
        <v>1</v>
      </c>
      <c r="I92" s="8" t="s">
        <v>47</v>
      </c>
      <c r="J92" s="8">
        <v>1</v>
      </c>
      <c r="K92" s="8">
        <v>0.5</v>
      </c>
      <c r="L92" s="8">
        <v>0.1</v>
      </c>
      <c r="M92" s="8">
        <v>0.34549999999999997</v>
      </c>
      <c r="N92" s="8" t="s">
        <v>16</v>
      </c>
      <c r="O92" s="19" t="s">
        <v>49</v>
      </c>
      <c r="P92" s="8">
        <v>0</v>
      </c>
      <c r="Q92" s="8">
        <f>ROUND(((D92*E92*F92*G92*H92*J92*L92*1000000*K92/3600)*(1-P92)),4)</f>
        <v>2.3300000000000001E-2</v>
      </c>
      <c r="R92" s="8">
        <f>ROUND((D92*E92*F92*G92*H92*J92*K92*M92*(1-P92)),4)</f>
        <v>2.9999999999999997E-4</v>
      </c>
      <c r="S92" s="65"/>
      <c r="T92" s="65"/>
    </row>
    <row r="93" spans="1:22" ht="63.75" x14ac:dyDescent="0.25">
      <c r="A93" s="1220"/>
      <c r="B93" s="20" t="s">
        <v>74</v>
      </c>
      <c r="C93" s="17" t="s">
        <v>75</v>
      </c>
      <c r="D93" s="8">
        <v>0.04</v>
      </c>
      <c r="E93" s="8">
        <v>0.03</v>
      </c>
      <c r="F93" s="18">
        <v>1.4</v>
      </c>
      <c r="G93" s="8">
        <v>1</v>
      </c>
      <c r="H93" s="8">
        <v>1</v>
      </c>
      <c r="I93" s="8" t="s">
        <v>47</v>
      </c>
      <c r="J93" s="8">
        <v>1</v>
      </c>
      <c r="K93" s="8">
        <v>0.5</v>
      </c>
      <c r="L93" s="8">
        <v>1</v>
      </c>
      <c r="M93" s="8">
        <v>12.24</v>
      </c>
      <c r="N93" s="8" t="s">
        <v>16</v>
      </c>
      <c r="O93" s="19" t="s">
        <v>49</v>
      </c>
      <c r="P93" s="8">
        <v>0</v>
      </c>
      <c r="Q93" s="8">
        <f>ROUND(((D93*E93*F93*G93*H93*J93*L93*1000000*K93/3600)*(1-P93)),4)</f>
        <v>0.23330000000000001</v>
      </c>
      <c r="R93" s="8">
        <f>ROUND((D93*E93*F93*G93*H93*J93*K93*M93*(1-P93)),4)</f>
        <v>1.03E-2</v>
      </c>
      <c r="S93" s="65"/>
      <c r="T93" s="65"/>
    </row>
    <row r="94" spans="1:22" ht="51" x14ac:dyDescent="0.25">
      <c r="A94" s="1220"/>
      <c r="B94" s="20" t="s">
        <v>76</v>
      </c>
      <c r="C94" s="17" t="s">
        <v>75</v>
      </c>
      <c r="D94" s="8">
        <v>0.04</v>
      </c>
      <c r="E94" s="8">
        <v>0.03</v>
      </c>
      <c r="F94" s="18">
        <v>1.4</v>
      </c>
      <c r="G94" s="8">
        <v>1</v>
      </c>
      <c r="H94" s="8">
        <v>1</v>
      </c>
      <c r="I94" s="8" t="s">
        <v>47</v>
      </c>
      <c r="J94" s="8">
        <v>1</v>
      </c>
      <c r="K94" s="8">
        <v>0.5</v>
      </c>
      <c r="L94" s="8">
        <v>0.5</v>
      </c>
      <c r="M94" s="8">
        <v>1.91</v>
      </c>
      <c r="N94" s="8" t="s">
        <v>16</v>
      </c>
      <c r="O94" s="19" t="s">
        <v>49</v>
      </c>
      <c r="P94" s="8">
        <v>0</v>
      </c>
      <c r="Q94" s="8">
        <f>ROUND(((D94*E94*F94*G94*H94*J94*L94*1000000*K94/3600)*(1-P94)),4)</f>
        <v>0.1167</v>
      </c>
      <c r="R94" s="8">
        <f>ROUND((D94*E94*F94*G94*H94*J94*K94*M94*(1-P94)),4)</f>
        <v>1.6000000000000001E-3</v>
      </c>
      <c r="S94" s="65"/>
      <c r="T94" s="65"/>
    </row>
    <row r="95" spans="1:22" ht="63.75" x14ac:dyDescent="0.25">
      <c r="A95" s="1220"/>
      <c r="B95" s="18" t="s">
        <v>319</v>
      </c>
      <c r="C95" s="17" t="s">
        <v>124</v>
      </c>
      <c r="D95" s="8">
        <v>0.04</v>
      </c>
      <c r="E95" s="8">
        <v>0.03</v>
      </c>
      <c r="F95" s="18">
        <v>1.4</v>
      </c>
      <c r="G95" s="8">
        <v>1</v>
      </c>
      <c r="H95" s="8">
        <v>1</v>
      </c>
      <c r="I95" s="8" t="s">
        <v>47</v>
      </c>
      <c r="J95" s="8">
        <v>1</v>
      </c>
      <c r="K95" s="8">
        <v>0.5</v>
      </c>
      <c r="L95" s="8">
        <v>0.1</v>
      </c>
      <c r="M95" s="8">
        <v>0.82</v>
      </c>
      <c r="N95" s="8" t="s">
        <v>16</v>
      </c>
      <c r="O95" s="19" t="s">
        <v>49</v>
      </c>
      <c r="P95" s="8">
        <v>0</v>
      </c>
      <c r="Q95" s="8">
        <f>ROUND(((D95*E95*F95*G95*H95*J95*L95*1000000*K95/3600)*(1-P95)),4)</f>
        <v>2.3300000000000001E-2</v>
      </c>
      <c r="R95" s="8">
        <f>ROUND((D95*E95*F95*G95*H95*J95*K95*M95*(1-P95)),4)</f>
        <v>6.9999999999999999E-4</v>
      </c>
      <c r="S95" s="65"/>
      <c r="T95" s="65"/>
    </row>
    <row r="96" spans="1:22" ht="24" customHeight="1" x14ac:dyDescent="0.25">
      <c r="A96" s="1221"/>
      <c r="B96" s="18" t="s">
        <v>125</v>
      </c>
      <c r="C96" s="17" t="s">
        <v>126</v>
      </c>
      <c r="D96" s="8">
        <v>0.08</v>
      </c>
      <c r="E96" s="8">
        <v>0.04</v>
      </c>
      <c r="F96" s="18">
        <v>1.4</v>
      </c>
      <c r="G96" s="8">
        <v>1</v>
      </c>
      <c r="H96" s="8">
        <v>1</v>
      </c>
      <c r="I96" s="8" t="s">
        <v>47</v>
      </c>
      <c r="J96" s="8">
        <v>1</v>
      </c>
      <c r="K96" s="8">
        <v>0.5</v>
      </c>
      <c r="L96" s="8">
        <v>1E-3</v>
      </c>
      <c r="M96" s="8">
        <v>2.5000000000000001E-3</v>
      </c>
      <c r="N96" s="8" t="s">
        <v>16</v>
      </c>
      <c r="O96" s="19" t="s">
        <v>49</v>
      </c>
      <c r="P96" s="8">
        <v>0</v>
      </c>
      <c r="Q96" s="8">
        <f>ROUND(((D96*E96*F96*G96*H96*J96*L96*1000000*K96/3600)*(1-P96)),4)</f>
        <v>5.9999999999999995E-4</v>
      </c>
      <c r="R96" s="8">
        <f>ROUND((D96*E96*F96*G96*H96*J96*K96*M96*(1-P96)),5)</f>
        <v>1.0000000000000001E-5</v>
      </c>
      <c r="S96" s="65"/>
      <c r="T96" s="65"/>
    </row>
    <row r="97" spans="1:22" ht="9.9499999999999993" customHeight="1" x14ac:dyDescent="0.25">
      <c r="A97" s="1206" t="s">
        <v>72</v>
      </c>
      <c r="B97" s="1207"/>
      <c r="C97" s="1207"/>
      <c r="D97" s="1207"/>
      <c r="E97" s="1207"/>
      <c r="F97" s="1207"/>
      <c r="G97" s="1207"/>
      <c r="H97" s="1207"/>
      <c r="I97" s="1207"/>
      <c r="J97" s="1207"/>
      <c r="K97" s="1207"/>
      <c r="L97" s="1207"/>
      <c r="M97" s="1207"/>
      <c r="N97" s="1207"/>
      <c r="O97" s="1207"/>
      <c r="P97" s="1207"/>
      <c r="Q97" s="1207"/>
      <c r="R97" s="1208"/>
      <c r="S97" s="893"/>
      <c r="T97" s="893"/>
    </row>
    <row r="98" spans="1:22" ht="24" customHeight="1" thickBot="1" x14ac:dyDescent="0.3">
      <c r="A98" s="1136" t="s">
        <v>312</v>
      </c>
      <c r="B98" s="1137"/>
      <c r="C98" s="1137"/>
      <c r="D98" s="1137"/>
      <c r="E98" s="1137"/>
      <c r="F98" s="1137"/>
      <c r="G98" s="1137"/>
      <c r="H98" s="1137"/>
      <c r="I98" s="1137"/>
      <c r="J98" s="1137"/>
      <c r="K98" s="1137"/>
      <c r="L98" s="1137"/>
      <c r="M98" s="1138"/>
      <c r="N98" s="194" t="s">
        <v>16</v>
      </c>
      <c r="O98" s="225" t="s">
        <v>49</v>
      </c>
      <c r="P98" s="8"/>
      <c r="Q98" s="194">
        <f>MAX(Q93,Q94,Q95,Q96,Q92)</f>
        <v>0.23330000000000001</v>
      </c>
      <c r="R98" s="194">
        <f>R93+R94+R95+R96+R92</f>
        <v>1.291E-2</v>
      </c>
      <c r="S98" s="885">
        <f>Q98</f>
        <v>0.23330000000000001</v>
      </c>
      <c r="T98" s="886">
        <f>R98</f>
        <v>1.291E-2</v>
      </c>
      <c r="U98" s="886">
        <v>2029</v>
      </c>
      <c r="V98" s="60"/>
    </row>
    <row r="99" spans="1:22" ht="15" customHeight="1" thickTop="1" x14ac:dyDescent="0.25">
      <c r="A99" s="1229" t="s">
        <v>62</v>
      </c>
      <c r="B99" s="1285"/>
      <c r="C99" s="1285"/>
      <c r="D99" s="1285"/>
      <c r="E99" s="1285"/>
      <c r="F99" s="1285"/>
      <c r="G99" s="1285"/>
      <c r="H99" s="1285"/>
      <c r="I99" s="1285"/>
      <c r="J99" s="1285"/>
      <c r="K99" s="1285"/>
      <c r="L99" s="1285"/>
      <c r="M99" s="1285"/>
      <c r="N99" s="1285"/>
      <c r="O99" s="1285"/>
      <c r="P99" s="1285"/>
      <c r="Q99" s="1285"/>
      <c r="R99" s="1286"/>
      <c r="S99" s="890"/>
      <c r="T99" s="890"/>
    </row>
    <row r="100" spans="1:22" s="764" customFormat="1" ht="15" customHeight="1" x14ac:dyDescent="0.3">
      <c r="A100" s="1296" t="s">
        <v>5</v>
      </c>
      <c r="B100" s="1288"/>
      <c r="C100" s="1288"/>
      <c r="D100" s="1288"/>
      <c r="E100" s="1288"/>
      <c r="F100" s="1288"/>
      <c r="G100" s="1288"/>
      <c r="H100" s="1288"/>
      <c r="I100" s="1288"/>
      <c r="J100" s="1288"/>
      <c r="K100" s="1288"/>
      <c r="L100" s="1288"/>
      <c r="M100" s="1288"/>
      <c r="N100" s="1288"/>
      <c r="O100" s="1288"/>
      <c r="P100" s="1288"/>
      <c r="Q100" s="1288"/>
      <c r="R100" s="1289"/>
      <c r="S100" s="891"/>
      <c r="T100" s="891"/>
      <c r="U100" s="881"/>
    </row>
    <row r="101" spans="1:22" ht="15" customHeight="1" x14ac:dyDescent="0.25">
      <c r="A101" s="1171" t="s">
        <v>264</v>
      </c>
      <c r="B101" s="1283"/>
      <c r="C101" s="1283"/>
      <c r="D101" s="1283"/>
      <c r="E101" s="1283"/>
      <c r="F101" s="1283"/>
      <c r="G101" s="1283"/>
      <c r="H101" s="1283"/>
      <c r="I101" s="1283"/>
      <c r="J101" s="1283"/>
      <c r="K101" s="1283"/>
      <c r="L101" s="1283"/>
      <c r="M101" s="1283"/>
      <c r="N101" s="1283"/>
      <c r="O101" s="1283"/>
      <c r="P101" s="1283"/>
      <c r="Q101" s="1283"/>
      <c r="R101" s="1284"/>
      <c r="S101" s="892"/>
      <c r="T101" s="892"/>
      <c r="U101" s="896"/>
    </row>
    <row r="102" spans="1:22" ht="50.25" customHeight="1" x14ac:dyDescent="0.25">
      <c r="A102" s="1209">
        <v>707901</v>
      </c>
      <c r="B102" s="20" t="s">
        <v>250</v>
      </c>
      <c r="C102" s="17" t="s">
        <v>251</v>
      </c>
      <c r="D102" s="8">
        <v>0.04</v>
      </c>
      <c r="E102" s="8">
        <v>0.02</v>
      </c>
      <c r="F102" s="18">
        <v>1.4</v>
      </c>
      <c r="G102" s="8">
        <v>1</v>
      </c>
      <c r="H102" s="8">
        <v>0.01</v>
      </c>
      <c r="I102" s="8" t="s">
        <v>47</v>
      </c>
      <c r="J102" s="8">
        <v>0.5</v>
      </c>
      <c r="K102" s="8">
        <v>0.5</v>
      </c>
      <c r="L102" s="8">
        <v>5</v>
      </c>
      <c r="M102" s="8">
        <v>5634</v>
      </c>
      <c r="N102" s="8" t="s">
        <v>16</v>
      </c>
      <c r="O102" s="19" t="s">
        <v>49</v>
      </c>
      <c r="P102" s="8">
        <v>0.8</v>
      </c>
      <c r="Q102" s="8">
        <f>ROUND(((D102*E102*F102*G102*H102*J102*L102*1000000*K102/3600)*(1-P102)),4)</f>
        <v>8.0000000000000004E-4</v>
      </c>
      <c r="R102" s="8">
        <f>ROUND((D102*E102*F102*G102*H102*J102*K102*M102*(1-P102)),4)</f>
        <v>3.2000000000000002E-3</v>
      </c>
      <c r="S102" s="65"/>
      <c r="T102" s="65"/>
      <c r="U102" s="897">
        <f>M102/L102</f>
        <v>1126.8</v>
      </c>
    </row>
    <row r="103" spans="1:22" ht="24" customHeight="1" x14ac:dyDescent="0.25">
      <c r="A103" s="1221"/>
      <c r="B103" s="20" t="s">
        <v>304</v>
      </c>
      <c r="C103" s="17" t="s">
        <v>235</v>
      </c>
      <c r="D103" s="8">
        <v>0.02</v>
      </c>
      <c r="E103" s="8">
        <v>0.01</v>
      </c>
      <c r="F103" s="18">
        <v>1.4</v>
      </c>
      <c r="G103" s="8">
        <v>1</v>
      </c>
      <c r="H103" s="8">
        <v>0.01</v>
      </c>
      <c r="I103" s="8" t="s">
        <v>47</v>
      </c>
      <c r="J103" s="8">
        <v>0.5</v>
      </c>
      <c r="K103" s="8">
        <v>0.5</v>
      </c>
      <c r="L103" s="8">
        <v>5</v>
      </c>
      <c r="M103" s="8">
        <v>1897</v>
      </c>
      <c r="N103" s="8" t="s">
        <v>16</v>
      </c>
      <c r="O103" s="19" t="s">
        <v>49</v>
      </c>
      <c r="P103" s="8">
        <v>0.8</v>
      </c>
      <c r="Q103" s="8">
        <f>ROUND(((D103*E103*F103*G103*H103*J103*L103*1000000*K103/3600)*(1-P103)),4)</f>
        <v>2.0000000000000001E-4</v>
      </c>
      <c r="R103" s="8">
        <f>ROUND((D103*E103*F103*G103*H103*J103*K103*M103*(1-P103)),5)</f>
        <v>2.7E-4</v>
      </c>
      <c r="S103" s="65"/>
      <c r="T103" s="65"/>
      <c r="U103" s="897"/>
    </row>
    <row r="104" spans="1:22" ht="9.9499999999999993" customHeight="1" x14ac:dyDescent="0.25">
      <c r="A104" s="1206" t="s">
        <v>72</v>
      </c>
      <c r="B104" s="1207"/>
      <c r="C104" s="1207"/>
      <c r="D104" s="1207"/>
      <c r="E104" s="1207"/>
      <c r="F104" s="1207"/>
      <c r="G104" s="1207"/>
      <c r="H104" s="1207"/>
      <c r="I104" s="1207"/>
      <c r="J104" s="1207"/>
      <c r="K104" s="1207"/>
      <c r="L104" s="1207"/>
      <c r="M104" s="1207"/>
      <c r="N104" s="1207"/>
      <c r="O104" s="1207"/>
      <c r="P104" s="1207"/>
      <c r="Q104" s="1207"/>
      <c r="R104" s="1208"/>
      <c r="S104" s="65"/>
      <c r="T104" s="65"/>
      <c r="U104" s="897"/>
    </row>
    <row r="105" spans="1:22" ht="24" customHeight="1" x14ac:dyDescent="0.25">
      <c r="A105" s="1136" t="s">
        <v>1048</v>
      </c>
      <c r="B105" s="1137"/>
      <c r="C105" s="1137"/>
      <c r="D105" s="1137"/>
      <c r="E105" s="1137"/>
      <c r="F105" s="1137"/>
      <c r="G105" s="1137"/>
      <c r="H105" s="1137"/>
      <c r="I105" s="1137"/>
      <c r="J105" s="1137"/>
      <c r="K105" s="1137"/>
      <c r="L105" s="1137"/>
      <c r="M105" s="1138"/>
      <c r="N105" s="194" t="s">
        <v>16</v>
      </c>
      <c r="O105" s="225" t="s">
        <v>49</v>
      </c>
      <c r="P105" s="8"/>
      <c r="Q105" s="194">
        <f>MAX(Q103,Q102)</f>
        <v>8.0000000000000004E-4</v>
      </c>
      <c r="R105" s="194">
        <f>R103+R102</f>
        <v>3.47E-3</v>
      </c>
      <c r="S105" s="65"/>
      <c r="T105" s="65"/>
      <c r="U105" s="897"/>
    </row>
    <row r="106" spans="1:22" ht="15" customHeight="1" x14ac:dyDescent="0.25">
      <c r="A106" s="1171" t="s">
        <v>284</v>
      </c>
      <c r="B106" s="1283"/>
      <c r="C106" s="1283"/>
      <c r="D106" s="1283"/>
      <c r="E106" s="1283"/>
      <c r="F106" s="1283"/>
      <c r="G106" s="1283"/>
      <c r="H106" s="1283"/>
      <c r="I106" s="1283"/>
      <c r="J106" s="1283"/>
      <c r="K106" s="1283"/>
      <c r="L106" s="1283"/>
      <c r="M106" s="1283"/>
      <c r="N106" s="1283"/>
      <c r="O106" s="1283"/>
      <c r="P106" s="1283"/>
      <c r="Q106" s="1283"/>
      <c r="R106" s="1284"/>
      <c r="S106" s="892"/>
      <c r="T106" s="892"/>
    </row>
    <row r="107" spans="1:22" ht="48.95" customHeight="1" x14ac:dyDescent="0.25">
      <c r="A107" s="1209">
        <v>709101</v>
      </c>
      <c r="B107" s="17" t="s">
        <v>250</v>
      </c>
      <c r="C107" s="17" t="s">
        <v>251</v>
      </c>
      <c r="D107" s="8">
        <v>0.04</v>
      </c>
      <c r="E107" s="8">
        <v>0.02</v>
      </c>
      <c r="F107" s="18">
        <v>1.4</v>
      </c>
      <c r="G107" s="8">
        <v>1</v>
      </c>
      <c r="H107" s="8">
        <v>0.01</v>
      </c>
      <c r="I107" s="8" t="s">
        <v>47</v>
      </c>
      <c r="J107" s="8">
        <v>0.5</v>
      </c>
      <c r="K107" s="8">
        <v>0.5</v>
      </c>
      <c r="L107" s="8">
        <v>5</v>
      </c>
      <c r="M107" s="8">
        <v>2495</v>
      </c>
      <c r="N107" s="8" t="s">
        <v>16</v>
      </c>
      <c r="O107" s="19" t="s">
        <v>49</v>
      </c>
      <c r="P107" s="8">
        <v>0.8</v>
      </c>
      <c r="Q107" s="8">
        <f>ROUND(((D107*E107*F107*G107*H107*J107*L107*1000000*K107/3600)*(1-P107)),4)</f>
        <v>8.0000000000000004E-4</v>
      </c>
      <c r="R107" s="8">
        <f>ROUND((D107*E107*F107*G107*H107*J107*K107*M107*(1-P107)),4)</f>
        <v>1.4E-3</v>
      </c>
      <c r="S107" s="849"/>
      <c r="T107" s="849"/>
      <c r="U107" s="849"/>
    </row>
    <row r="108" spans="1:22" ht="24" customHeight="1" x14ac:dyDescent="0.25">
      <c r="A108" s="1221"/>
      <c r="B108" s="349" t="s">
        <v>304</v>
      </c>
      <c r="C108" s="350" t="s">
        <v>235</v>
      </c>
      <c r="D108" s="186">
        <v>0.02</v>
      </c>
      <c r="E108" s="186">
        <v>0.01</v>
      </c>
      <c r="F108" s="212">
        <v>1.4</v>
      </c>
      <c r="G108" s="186">
        <v>1</v>
      </c>
      <c r="H108" s="186">
        <v>0.01</v>
      </c>
      <c r="I108" s="186" t="s">
        <v>47</v>
      </c>
      <c r="J108" s="186">
        <v>0.5</v>
      </c>
      <c r="K108" s="186">
        <v>0.5</v>
      </c>
      <c r="L108" s="186">
        <v>5</v>
      </c>
      <c r="M108" s="186">
        <v>451</v>
      </c>
      <c r="N108" s="186" t="s">
        <v>16</v>
      </c>
      <c r="O108" s="351" t="s">
        <v>49</v>
      </c>
      <c r="P108" s="186">
        <v>0.8</v>
      </c>
      <c r="Q108" s="186">
        <f>ROUND(((D108*E108*F108*G108*H108*J108*L108*1000000*K108/3600)*(1-P108)),4)</f>
        <v>2.0000000000000001E-4</v>
      </c>
      <c r="R108" s="186">
        <f>ROUND((D108*E108*F108*G108*H108*J108*K108*M108*(1-P108)),5)</f>
        <v>6.0000000000000002E-5</v>
      </c>
      <c r="S108" s="849"/>
      <c r="T108" s="849"/>
      <c r="U108" s="849"/>
    </row>
    <row r="109" spans="1:22" ht="9.9499999999999993" customHeight="1" x14ac:dyDescent="0.25">
      <c r="A109" s="1206" t="s">
        <v>72</v>
      </c>
      <c r="B109" s="1207"/>
      <c r="C109" s="1207"/>
      <c r="D109" s="1207"/>
      <c r="E109" s="1207"/>
      <c r="F109" s="1207"/>
      <c r="G109" s="1207"/>
      <c r="H109" s="1207"/>
      <c r="I109" s="1207"/>
      <c r="J109" s="1207"/>
      <c r="K109" s="1207"/>
      <c r="L109" s="1207"/>
      <c r="M109" s="1207"/>
      <c r="N109" s="1207"/>
      <c r="O109" s="1207"/>
      <c r="P109" s="1207"/>
      <c r="Q109" s="1207"/>
      <c r="R109" s="1208"/>
      <c r="S109" s="849"/>
      <c r="T109" s="849"/>
      <c r="U109" s="849"/>
    </row>
    <row r="110" spans="1:22" ht="24" customHeight="1" x14ac:dyDescent="0.25">
      <c r="A110" s="1136" t="s">
        <v>1053</v>
      </c>
      <c r="B110" s="1137"/>
      <c r="C110" s="1137"/>
      <c r="D110" s="1137"/>
      <c r="E110" s="1137"/>
      <c r="F110" s="1137"/>
      <c r="G110" s="1137"/>
      <c r="H110" s="1137"/>
      <c r="I110" s="1137"/>
      <c r="J110" s="1137"/>
      <c r="K110" s="1137"/>
      <c r="L110" s="1137"/>
      <c r="M110" s="1138"/>
      <c r="N110" s="194" t="s">
        <v>16</v>
      </c>
      <c r="O110" s="225" t="s">
        <v>49</v>
      </c>
      <c r="P110" s="8"/>
      <c r="Q110" s="194">
        <f>MAX(Q108,Q107)</f>
        <v>8.0000000000000004E-4</v>
      </c>
      <c r="R110" s="194">
        <f>R108+R107</f>
        <v>1.4599999999999999E-3</v>
      </c>
      <c r="S110" s="871">
        <f>Q105+Q110</f>
        <v>1.6000000000000001E-3</v>
      </c>
      <c r="T110" s="871">
        <f>R105+R110</f>
        <v>4.9300000000000004E-3</v>
      </c>
      <c r="U110" s="871">
        <v>2026</v>
      </c>
    </row>
    <row r="111" spans="1:22" ht="15" customHeight="1" x14ac:dyDescent="0.25">
      <c r="A111" s="1167" t="s">
        <v>11</v>
      </c>
      <c r="B111" s="1306"/>
      <c r="C111" s="1306"/>
      <c r="D111" s="1306"/>
      <c r="E111" s="1306"/>
      <c r="F111" s="1306"/>
      <c r="G111" s="1306"/>
      <c r="H111" s="1306"/>
      <c r="I111" s="1306"/>
      <c r="J111" s="1306"/>
      <c r="K111" s="1306"/>
      <c r="L111" s="1306"/>
      <c r="M111" s="1306"/>
      <c r="N111" s="1306"/>
      <c r="O111" s="1306"/>
      <c r="P111" s="1306"/>
      <c r="Q111" s="1306"/>
      <c r="R111" s="1307"/>
      <c r="S111" s="892"/>
      <c r="T111" s="892"/>
    </row>
    <row r="112" spans="1:22" ht="15" customHeight="1" x14ac:dyDescent="0.25">
      <c r="A112" s="1178" t="s">
        <v>260</v>
      </c>
      <c r="B112" s="1290"/>
      <c r="C112" s="1290"/>
      <c r="D112" s="1290"/>
      <c r="E112" s="1290"/>
      <c r="F112" s="1290"/>
      <c r="G112" s="1290"/>
      <c r="H112" s="1290"/>
      <c r="I112" s="1290"/>
      <c r="J112" s="1290"/>
      <c r="K112" s="1290"/>
      <c r="L112" s="1290"/>
      <c r="M112" s="1290"/>
      <c r="N112" s="1290"/>
      <c r="O112" s="1290"/>
      <c r="P112" s="1290"/>
      <c r="Q112" s="1290"/>
      <c r="R112" s="1291"/>
      <c r="S112" s="892"/>
      <c r="T112" s="892"/>
    </row>
    <row r="113" spans="1:24" ht="38.25" x14ac:dyDescent="0.25">
      <c r="A113" s="1209">
        <v>706801</v>
      </c>
      <c r="B113" s="20" t="s">
        <v>67</v>
      </c>
      <c r="C113" s="17" t="s">
        <v>68</v>
      </c>
      <c r="D113" s="8">
        <v>0.02</v>
      </c>
      <c r="E113" s="8">
        <v>0.01</v>
      </c>
      <c r="F113" s="18">
        <v>1.4</v>
      </c>
      <c r="G113" s="8">
        <v>1</v>
      </c>
      <c r="H113" s="8">
        <v>0.01</v>
      </c>
      <c r="I113" s="8" t="s">
        <v>47</v>
      </c>
      <c r="J113" s="8">
        <v>0.4</v>
      </c>
      <c r="K113" s="8">
        <v>0.5</v>
      </c>
      <c r="L113" s="8">
        <v>60</v>
      </c>
      <c r="M113" s="8">
        <v>19995</v>
      </c>
      <c r="N113" s="8" t="s">
        <v>16</v>
      </c>
      <c r="O113" s="19" t="s">
        <v>49</v>
      </c>
      <c r="P113" s="8">
        <v>0.8</v>
      </c>
      <c r="Q113" s="8">
        <f>ROUND(((D113*E113*F113*G113*H113*J113*L113*1000000*K113/3600)*(1-P113)),4)</f>
        <v>1.9E-3</v>
      </c>
      <c r="R113" s="8">
        <f>ROUND((D113*E113*F113*G113*H113*J113*K113*M113*(1-P113)),4)</f>
        <v>2.2000000000000001E-3</v>
      </c>
      <c r="S113" s="65"/>
      <c r="T113" s="65"/>
      <c r="U113" s="881">
        <f>M113/L113</f>
        <v>333.25</v>
      </c>
    </row>
    <row r="114" spans="1:24" ht="24" customHeight="1" x14ac:dyDescent="0.25">
      <c r="A114" s="1303"/>
      <c r="B114" s="20" t="s">
        <v>304</v>
      </c>
      <c r="C114" s="17" t="s">
        <v>235</v>
      </c>
      <c r="D114" s="8">
        <v>0.02</v>
      </c>
      <c r="E114" s="8">
        <v>0.01</v>
      </c>
      <c r="F114" s="18">
        <v>1.4</v>
      </c>
      <c r="G114" s="8">
        <v>1</v>
      </c>
      <c r="H114" s="8">
        <v>0.01</v>
      </c>
      <c r="I114" s="8" t="s">
        <v>47</v>
      </c>
      <c r="J114" s="8">
        <v>0.5</v>
      </c>
      <c r="K114" s="8">
        <v>0.5</v>
      </c>
      <c r="L114" s="8">
        <v>5</v>
      </c>
      <c r="M114" s="8">
        <v>1436</v>
      </c>
      <c r="N114" s="8" t="s">
        <v>16</v>
      </c>
      <c r="O114" s="19" t="s">
        <v>49</v>
      </c>
      <c r="P114" s="8">
        <v>0.8</v>
      </c>
      <c r="Q114" s="8">
        <f>ROUND(((D114*E114*F114*G114*H114*J114*L114*1000000*K114/3600)*(1-P114)),4)</f>
        <v>2.0000000000000001E-4</v>
      </c>
      <c r="R114" s="8">
        <f>ROUND((D114*E114*F114*G114*H114*J114*K114*M114*(1-P114)),5)</f>
        <v>2.0000000000000001E-4</v>
      </c>
      <c r="S114" s="65"/>
      <c r="T114" s="65"/>
      <c r="U114" s="881">
        <f>M114/L114</f>
        <v>287.2</v>
      </c>
    </row>
    <row r="115" spans="1:24" ht="9.9499999999999993" customHeight="1" x14ac:dyDescent="0.25">
      <c r="A115" s="1206" t="s">
        <v>72</v>
      </c>
      <c r="B115" s="1207"/>
      <c r="C115" s="1207"/>
      <c r="D115" s="1207"/>
      <c r="E115" s="1207"/>
      <c r="F115" s="1207"/>
      <c r="G115" s="1207"/>
      <c r="H115" s="1207"/>
      <c r="I115" s="1207"/>
      <c r="J115" s="1207"/>
      <c r="K115" s="1207"/>
      <c r="L115" s="1207"/>
      <c r="M115" s="1207"/>
      <c r="N115" s="1207"/>
      <c r="O115" s="1207"/>
      <c r="P115" s="1207"/>
      <c r="Q115" s="1207"/>
      <c r="R115" s="1208"/>
      <c r="S115" s="893"/>
      <c r="T115" s="893"/>
    </row>
    <row r="116" spans="1:24" ht="24" customHeight="1" x14ac:dyDescent="0.25">
      <c r="A116" s="1136" t="s">
        <v>459</v>
      </c>
      <c r="B116" s="1137"/>
      <c r="C116" s="1137"/>
      <c r="D116" s="1137"/>
      <c r="E116" s="1137"/>
      <c r="F116" s="1137"/>
      <c r="G116" s="1137"/>
      <c r="H116" s="1137"/>
      <c r="I116" s="1137"/>
      <c r="J116" s="1137"/>
      <c r="K116" s="1137"/>
      <c r="L116" s="1137"/>
      <c r="M116" s="1138"/>
      <c r="N116" s="194" t="s">
        <v>16</v>
      </c>
      <c r="O116" s="225" t="s">
        <v>49</v>
      </c>
      <c r="P116" s="8"/>
      <c r="Q116" s="194">
        <f>MAX(Q114,Q113)</f>
        <v>1.9E-3</v>
      </c>
      <c r="R116" s="194">
        <f>R114+R113</f>
        <v>2.4000000000000002E-3</v>
      </c>
      <c r="S116" s="871">
        <f>Q116</f>
        <v>1.9E-3</v>
      </c>
      <c r="T116" s="871">
        <f>R116</f>
        <v>2.4000000000000002E-3</v>
      </c>
      <c r="U116" s="871">
        <v>2027</v>
      </c>
    </row>
    <row r="117" spans="1:24" ht="15" customHeight="1" x14ac:dyDescent="0.25">
      <c r="A117" s="1155" t="s">
        <v>60</v>
      </c>
      <c r="B117" s="1304"/>
      <c r="C117" s="1304"/>
      <c r="D117" s="1304"/>
      <c r="E117" s="1304"/>
      <c r="F117" s="1304"/>
      <c r="G117" s="1304"/>
      <c r="H117" s="1304"/>
      <c r="I117" s="1304"/>
      <c r="J117" s="1304"/>
      <c r="K117" s="1304"/>
      <c r="L117" s="1304"/>
      <c r="M117" s="1304"/>
      <c r="N117" s="1304"/>
      <c r="O117" s="1304"/>
      <c r="P117" s="1304"/>
      <c r="Q117" s="1304"/>
      <c r="R117" s="1305"/>
      <c r="S117" s="892"/>
      <c r="T117" s="892"/>
    </row>
    <row r="118" spans="1:24" ht="15" customHeight="1" x14ac:dyDescent="0.25">
      <c r="A118" s="1171" t="s">
        <v>8</v>
      </c>
      <c r="B118" s="1283"/>
      <c r="C118" s="1283"/>
      <c r="D118" s="1283"/>
      <c r="E118" s="1283"/>
      <c r="F118" s="1283"/>
      <c r="G118" s="1283"/>
      <c r="H118" s="1283"/>
      <c r="I118" s="1283"/>
      <c r="J118" s="1283"/>
      <c r="K118" s="1283"/>
      <c r="L118" s="1283"/>
      <c r="M118" s="1283"/>
      <c r="N118" s="1283"/>
      <c r="O118" s="1283"/>
      <c r="P118" s="1283"/>
      <c r="Q118" s="1283"/>
      <c r="R118" s="1284"/>
      <c r="S118" s="892"/>
      <c r="T118" s="892"/>
    </row>
    <row r="119" spans="1:24" ht="48.95" customHeight="1" x14ac:dyDescent="0.25">
      <c r="A119" s="1209">
        <v>700401</v>
      </c>
      <c r="B119" s="20" t="s">
        <v>64</v>
      </c>
      <c r="C119" s="17" t="s">
        <v>65</v>
      </c>
      <c r="D119" s="8">
        <v>0.04</v>
      </c>
      <c r="E119" s="8">
        <v>0.02</v>
      </c>
      <c r="F119" s="18">
        <v>1.4</v>
      </c>
      <c r="G119" s="8">
        <v>1</v>
      </c>
      <c r="H119" s="8">
        <v>0.01</v>
      </c>
      <c r="I119" s="8" t="s">
        <v>47</v>
      </c>
      <c r="J119" s="8">
        <v>0.5</v>
      </c>
      <c r="K119" s="8">
        <v>0.5</v>
      </c>
      <c r="L119" s="8">
        <v>10</v>
      </c>
      <c r="M119" s="8">
        <v>10595</v>
      </c>
      <c r="N119" s="8" t="s">
        <v>16</v>
      </c>
      <c r="O119" s="19" t="s">
        <v>49</v>
      </c>
      <c r="P119" s="8">
        <v>0.8</v>
      </c>
      <c r="Q119" s="8">
        <f>ROUND(((D119*E119*F119*G119*H119*J119*L119*1000000*K119/3600)*(1-P119)),4)</f>
        <v>1.6000000000000001E-3</v>
      </c>
      <c r="R119" s="8">
        <f>ROUND((D119*E119*F119*G119*H119*J119*K119*M119*(1-P119)),4)</f>
        <v>5.8999999999999999E-3</v>
      </c>
      <c r="S119" s="65"/>
      <c r="T119" s="65"/>
      <c r="U119" s="896"/>
      <c r="V119" s="5" t="s">
        <v>1042</v>
      </c>
      <c r="W119" s="5"/>
      <c r="X119" s="5"/>
    </row>
    <row r="120" spans="1:24" ht="35.25" customHeight="1" x14ac:dyDescent="0.25">
      <c r="A120" s="1303"/>
      <c r="B120" s="20" t="s">
        <v>67</v>
      </c>
      <c r="C120" s="17" t="s">
        <v>68</v>
      </c>
      <c r="D120" s="8">
        <v>0.02</v>
      </c>
      <c r="E120" s="8">
        <v>0.01</v>
      </c>
      <c r="F120" s="18">
        <v>1.4</v>
      </c>
      <c r="G120" s="8">
        <v>1</v>
      </c>
      <c r="H120" s="8">
        <v>0.01</v>
      </c>
      <c r="I120" s="8" t="s">
        <v>47</v>
      </c>
      <c r="J120" s="8">
        <v>0.4</v>
      </c>
      <c r="K120" s="8">
        <v>0.5</v>
      </c>
      <c r="L120" s="8">
        <v>150</v>
      </c>
      <c r="M120" s="8">
        <v>355196</v>
      </c>
      <c r="N120" s="8" t="s">
        <v>16</v>
      </c>
      <c r="O120" s="19" t="s">
        <v>49</v>
      </c>
      <c r="P120" s="8">
        <v>0.8</v>
      </c>
      <c r="Q120" s="8">
        <f>ROUND(((D120*E120*F120*G120*H120*J120*L120*1000000*K120/3600)*(1-P120)),4)</f>
        <v>4.7000000000000002E-3</v>
      </c>
      <c r="R120" s="8">
        <f>ROUND((D120*E120*F120*G120*H120*J120*K120*M120*(1-P120)),4)</f>
        <v>3.9800000000000002E-2</v>
      </c>
      <c r="S120" s="65"/>
      <c r="T120" s="65"/>
      <c r="U120" s="896"/>
      <c r="V120" s="4"/>
      <c r="W120" s="4"/>
      <c r="X120" s="4"/>
    </row>
    <row r="121" spans="1:24" ht="9.9499999999999993" customHeight="1" x14ac:dyDescent="0.25">
      <c r="A121" s="1206" t="s">
        <v>72</v>
      </c>
      <c r="B121" s="1207"/>
      <c r="C121" s="1207"/>
      <c r="D121" s="1207"/>
      <c r="E121" s="1207"/>
      <c r="F121" s="1207"/>
      <c r="G121" s="1207"/>
      <c r="H121" s="1207"/>
      <c r="I121" s="1207"/>
      <c r="J121" s="1207"/>
      <c r="K121" s="1207"/>
      <c r="L121" s="1207"/>
      <c r="M121" s="1207"/>
      <c r="N121" s="1207"/>
      <c r="O121" s="1207"/>
      <c r="P121" s="1207"/>
      <c r="Q121" s="1207"/>
      <c r="R121" s="1208"/>
      <c r="S121" s="893"/>
      <c r="T121" s="893"/>
      <c r="U121" s="896"/>
      <c r="V121" s="4"/>
      <c r="W121" s="4"/>
      <c r="X121" s="4"/>
    </row>
    <row r="122" spans="1:24" ht="24" customHeight="1" x14ac:dyDescent="0.25">
      <c r="A122" s="1136" t="s">
        <v>361</v>
      </c>
      <c r="B122" s="1137"/>
      <c r="C122" s="1137"/>
      <c r="D122" s="1137"/>
      <c r="E122" s="1137"/>
      <c r="F122" s="1137"/>
      <c r="G122" s="1137"/>
      <c r="H122" s="1137"/>
      <c r="I122" s="1137"/>
      <c r="J122" s="1137"/>
      <c r="K122" s="1137"/>
      <c r="L122" s="1137"/>
      <c r="M122" s="1138"/>
      <c r="N122" s="194" t="s">
        <v>16</v>
      </c>
      <c r="O122" s="225" t="s">
        <v>49</v>
      </c>
      <c r="P122" s="8"/>
      <c r="Q122" s="194">
        <f>MAX(Q120,Q119)</f>
        <v>4.7000000000000002E-3</v>
      </c>
      <c r="R122" s="194">
        <f>R120+R119</f>
        <v>4.5700000000000005E-2</v>
      </c>
      <c r="S122" s="65"/>
      <c r="T122" s="65"/>
      <c r="U122" s="896"/>
      <c r="V122" s="4"/>
      <c r="W122" s="4"/>
      <c r="X122" s="4"/>
    </row>
    <row r="123" spans="1:24" ht="15" customHeight="1" x14ac:dyDescent="0.25">
      <c r="A123" s="1171" t="s">
        <v>255</v>
      </c>
      <c r="B123" s="1283"/>
      <c r="C123" s="1283"/>
      <c r="D123" s="1283"/>
      <c r="E123" s="1283"/>
      <c r="F123" s="1283"/>
      <c r="G123" s="1283"/>
      <c r="H123" s="1283"/>
      <c r="I123" s="1283"/>
      <c r="J123" s="1283"/>
      <c r="K123" s="1283"/>
      <c r="L123" s="1283"/>
      <c r="M123" s="1283"/>
      <c r="N123" s="1283"/>
      <c r="O123" s="1283"/>
      <c r="P123" s="1283"/>
      <c r="Q123" s="1283"/>
      <c r="R123" s="1284"/>
      <c r="S123" s="892"/>
      <c r="T123" s="892"/>
      <c r="U123" s="896"/>
      <c r="V123" s="4"/>
      <c r="W123" s="4"/>
      <c r="X123" s="4"/>
    </row>
    <row r="124" spans="1:24" ht="48.95" customHeight="1" x14ac:dyDescent="0.25">
      <c r="A124" s="1209">
        <v>705601</v>
      </c>
      <c r="B124" s="20" t="s">
        <v>250</v>
      </c>
      <c r="C124" s="17" t="s">
        <v>251</v>
      </c>
      <c r="D124" s="8">
        <v>0.04</v>
      </c>
      <c r="E124" s="8">
        <v>0.02</v>
      </c>
      <c r="F124" s="18">
        <v>1.4</v>
      </c>
      <c r="G124" s="8">
        <v>1</v>
      </c>
      <c r="H124" s="8">
        <v>0.01</v>
      </c>
      <c r="I124" s="8" t="s">
        <v>47</v>
      </c>
      <c r="J124" s="8">
        <v>0.5</v>
      </c>
      <c r="K124" s="8">
        <v>0.5</v>
      </c>
      <c r="L124" s="8">
        <v>10</v>
      </c>
      <c r="M124" s="8">
        <v>9486</v>
      </c>
      <c r="N124" s="8" t="s">
        <v>16</v>
      </c>
      <c r="O124" s="19" t="s">
        <v>49</v>
      </c>
      <c r="P124" s="8">
        <v>0.8</v>
      </c>
      <c r="Q124" s="8">
        <f>ROUND(((D124*E124*F124*G124*H124*J124*L124*1000000*K124/3600)*(1-P124)),4)</f>
        <v>1.6000000000000001E-3</v>
      </c>
      <c r="R124" s="8">
        <f>ROUND((D124*E124*F124*G124*H124*J124*K124*M124*(1-P124)),4)</f>
        <v>5.3E-3</v>
      </c>
      <c r="S124" s="65"/>
      <c r="T124" s="65"/>
      <c r="U124" s="897"/>
      <c r="V124" s="5" t="s">
        <v>1042</v>
      </c>
      <c r="W124" s="5"/>
      <c r="X124" s="5"/>
    </row>
    <row r="125" spans="1:24" ht="24" customHeight="1" x14ac:dyDescent="0.25">
      <c r="A125" s="1195"/>
      <c r="B125" s="20" t="s">
        <v>304</v>
      </c>
      <c r="C125" s="17" t="s">
        <v>235</v>
      </c>
      <c r="D125" s="8">
        <v>0.02</v>
      </c>
      <c r="E125" s="8">
        <v>0.01</v>
      </c>
      <c r="F125" s="18">
        <v>1.4</v>
      </c>
      <c r="G125" s="8">
        <v>1</v>
      </c>
      <c r="H125" s="8">
        <v>0.01</v>
      </c>
      <c r="I125" s="8" t="s">
        <v>47</v>
      </c>
      <c r="J125" s="8">
        <v>0.5</v>
      </c>
      <c r="K125" s="8">
        <v>0.5</v>
      </c>
      <c r="L125" s="8">
        <v>5</v>
      </c>
      <c r="M125" s="8">
        <v>1714</v>
      </c>
      <c r="N125" s="8" t="s">
        <v>16</v>
      </c>
      <c r="O125" s="19" t="s">
        <v>49</v>
      </c>
      <c r="P125" s="8">
        <v>0.8</v>
      </c>
      <c r="Q125" s="8">
        <f>ROUND(((D125*E125*F125*G125*H125*J125*L125*1000000*K125/3600)*(1-P125)),4)</f>
        <v>2.0000000000000001E-4</v>
      </c>
      <c r="R125" s="8">
        <f>ROUND((D125*E125*F125*G125*H125*J125*K125*M125*(1-P125)),5)</f>
        <v>2.4000000000000001E-4</v>
      </c>
      <c r="S125" s="65"/>
      <c r="T125" s="65"/>
      <c r="U125" s="897"/>
      <c r="V125" s="5"/>
      <c r="W125" s="5"/>
      <c r="X125" s="5"/>
    </row>
    <row r="126" spans="1:24" ht="48.95" customHeight="1" x14ac:dyDescent="0.25">
      <c r="A126" s="1195"/>
      <c r="B126" s="20" t="s">
        <v>242</v>
      </c>
      <c r="C126" s="17" t="s">
        <v>235</v>
      </c>
      <c r="D126" s="8">
        <v>0.04</v>
      </c>
      <c r="E126" s="8">
        <v>0.02</v>
      </c>
      <c r="F126" s="18">
        <v>1.4</v>
      </c>
      <c r="G126" s="8">
        <v>1</v>
      </c>
      <c r="H126" s="8">
        <v>0.01</v>
      </c>
      <c r="I126" s="8" t="s">
        <v>47</v>
      </c>
      <c r="J126" s="8">
        <v>0.5</v>
      </c>
      <c r="K126" s="8">
        <v>0.5</v>
      </c>
      <c r="L126" s="8">
        <v>2</v>
      </c>
      <c r="M126" s="8">
        <v>12</v>
      </c>
      <c r="N126" s="8" t="s">
        <v>16</v>
      </c>
      <c r="O126" s="19" t="s">
        <v>49</v>
      </c>
      <c r="P126" s="8">
        <v>0.8</v>
      </c>
      <c r="Q126" s="8">
        <f>ROUND(((D126*E126*F126*G126*H126*J126*L126*1000000*K126/3600)*(1-P126)),4)</f>
        <v>2.9999999999999997E-4</v>
      </c>
      <c r="R126" s="8">
        <f>ROUND((D126*E126*F126*G126*H126*J126*K126*M126*(1-P126)),5)</f>
        <v>1.0000000000000001E-5</v>
      </c>
      <c r="S126" s="65"/>
      <c r="T126" s="65"/>
      <c r="U126" s="897"/>
      <c r="V126" s="5"/>
      <c r="W126" s="5"/>
      <c r="X126" s="5"/>
    </row>
    <row r="127" spans="1:24" ht="9.9499999999999993" customHeight="1" x14ac:dyDescent="0.25">
      <c r="A127" s="1206" t="s">
        <v>72</v>
      </c>
      <c r="B127" s="1207"/>
      <c r="C127" s="1207"/>
      <c r="D127" s="1207"/>
      <c r="E127" s="1207"/>
      <c r="F127" s="1207"/>
      <c r="G127" s="1207"/>
      <c r="H127" s="1207"/>
      <c r="I127" s="1207"/>
      <c r="J127" s="1207"/>
      <c r="K127" s="1207"/>
      <c r="L127" s="1207"/>
      <c r="M127" s="1207"/>
      <c r="N127" s="1207"/>
      <c r="O127" s="1207"/>
      <c r="P127" s="1207"/>
      <c r="Q127" s="1207"/>
      <c r="R127" s="1208"/>
      <c r="S127" s="893"/>
      <c r="T127" s="893"/>
      <c r="U127" s="896"/>
      <c r="V127" s="4"/>
      <c r="W127" s="4"/>
      <c r="X127" s="4"/>
    </row>
    <row r="128" spans="1:24" ht="24" customHeight="1" x14ac:dyDescent="0.25">
      <c r="A128" s="1136" t="s">
        <v>441</v>
      </c>
      <c r="B128" s="1137"/>
      <c r="C128" s="1137"/>
      <c r="D128" s="1137"/>
      <c r="E128" s="1137"/>
      <c r="F128" s="1137"/>
      <c r="G128" s="1137"/>
      <c r="H128" s="1137"/>
      <c r="I128" s="1137"/>
      <c r="J128" s="1137"/>
      <c r="K128" s="1137"/>
      <c r="L128" s="1137"/>
      <c r="M128" s="1138"/>
      <c r="N128" s="194" t="s">
        <v>16</v>
      </c>
      <c r="O128" s="225" t="s">
        <v>49</v>
      </c>
      <c r="P128" s="8"/>
      <c r="Q128" s="194">
        <f>MAX(Q124,Q125,Q126)</f>
        <v>1.6000000000000001E-3</v>
      </c>
      <c r="R128" s="194">
        <f>R124+R126+R125</f>
        <v>5.5499999999999994E-3</v>
      </c>
      <c r="S128" s="65"/>
      <c r="T128" s="65"/>
      <c r="U128" s="896"/>
      <c r="V128" s="4"/>
      <c r="W128" s="4"/>
      <c r="X128" s="4"/>
    </row>
    <row r="129" spans="1:24" ht="15" customHeight="1" x14ac:dyDescent="0.25">
      <c r="A129" s="1171" t="s">
        <v>302</v>
      </c>
      <c r="B129" s="1283"/>
      <c r="C129" s="1283"/>
      <c r="D129" s="1283"/>
      <c r="E129" s="1283"/>
      <c r="F129" s="1283"/>
      <c r="G129" s="1283"/>
      <c r="H129" s="1283"/>
      <c r="I129" s="1283"/>
      <c r="J129" s="1283"/>
      <c r="K129" s="1283"/>
      <c r="L129" s="1283"/>
      <c r="M129" s="1283"/>
      <c r="N129" s="1283"/>
      <c r="O129" s="1283"/>
      <c r="P129" s="1283"/>
      <c r="Q129" s="1283"/>
      <c r="R129" s="1284"/>
      <c r="S129" s="892"/>
      <c r="T129" s="892"/>
      <c r="U129" s="896"/>
      <c r="V129" s="4"/>
      <c r="W129" s="4"/>
      <c r="X129" s="4"/>
    </row>
    <row r="130" spans="1:24" ht="36.950000000000003" customHeight="1" x14ac:dyDescent="0.25">
      <c r="A130" s="1225">
        <v>711701</v>
      </c>
      <c r="B130" s="756" t="s">
        <v>303</v>
      </c>
      <c r="C130" s="17" t="s">
        <v>251</v>
      </c>
      <c r="D130" s="8">
        <v>0.04</v>
      </c>
      <c r="E130" s="8">
        <v>0.02</v>
      </c>
      <c r="F130" s="18">
        <v>1.4</v>
      </c>
      <c r="G130" s="8">
        <v>1</v>
      </c>
      <c r="H130" s="8">
        <v>0.01</v>
      </c>
      <c r="I130" s="8" t="s">
        <v>47</v>
      </c>
      <c r="J130" s="8">
        <v>0.5</v>
      </c>
      <c r="K130" s="8">
        <v>0.5</v>
      </c>
      <c r="L130" s="8">
        <v>15</v>
      </c>
      <c r="M130" s="8">
        <v>9080</v>
      </c>
      <c r="N130" s="8" t="s">
        <v>16</v>
      </c>
      <c r="O130" s="19" t="s">
        <v>49</v>
      </c>
      <c r="P130" s="8">
        <v>0.8</v>
      </c>
      <c r="Q130" s="8">
        <f>ROUND(((D130*E130*F130*G130*H130*J130*L130*1000000*K130/3600)*(1-P130)),4)</f>
        <v>2.3E-3</v>
      </c>
      <c r="R130" s="8">
        <f>ROUND((D130*E130*F130*G130*H130*J130*K130*M130*(1-P130)),4)</f>
        <v>5.1000000000000004E-3</v>
      </c>
      <c r="S130" s="65"/>
      <c r="T130" s="65"/>
      <c r="U130" s="897"/>
      <c r="V130" s="5" t="s">
        <v>66</v>
      </c>
      <c r="W130" s="5"/>
      <c r="X130" s="5"/>
    </row>
    <row r="131" spans="1:24" ht="20.25" customHeight="1" x14ac:dyDescent="0.25">
      <c r="A131" s="1225"/>
      <c r="B131" s="756" t="s">
        <v>304</v>
      </c>
      <c r="C131" s="17" t="s">
        <v>235</v>
      </c>
      <c r="D131" s="8">
        <v>0.02</v>
      </c>
      <c r="E131" s="8">
        <v>0.01</v>
      </c>
      <c r="F131" s="18">
        <v>1.4</v>
      </c>
      <c r="G131" s="8">
        <v>1</v>
      </c>
      <c r="H131" s="8">
        <v>0.01</v>
      </c>
      <c r="I131" s="8" t="s">
        <v>47</v>
      </c>
      <c r="J131" s="8">
        <v>0.5</v>
      </c>
      <c r="K131" s="8">
        <v>0.5</v>
      </c>
      <c r="L131" s="8">
        <v>5</v>
      </c>
      <c r="M131" s="8">
        <v>2051</v>
      </c>
      <c r="N131" s="8" t="s">
        <v>16</v>
      </c>
      <c r="O131" s="19" t="s">
        <v>49</v>
      </c>
      <c r="P131" s="8">
        <v>0.8</v>
      </c>
      <c r="Q131" s="8">
        <f>ROUND(((D131*E131*F131*G131*H131*J131*L131*1000000*K131/3600)*(1-P131)),4)</f>
        <v>2.0000000000000001E-4</v>
      </c>
      <c r="R131" s="8">
        <f>ROUND((D131*E131*F131*G131*H131*J131*K131*M131*(1-P131)),4)</f>
        <v>2.9999999999999997E-4</v>
      </c>
      <c r="S131" s="65"/>
      <c r="T131" s="65"/>
      <c r="U131" s="896"/>
      <c r="V131" s="4"/>
      <c r="W131" s="4"/>
      <c r="X131" s="4"/>
    </row>
    <row r="132" spans="1:24" ht="34.5" customHeight="1" x14ac:dyDescent="0.25">
      <c r="A132" s="1237"/>
      <c r="B132" s="756" t="s">
        <v>1208</v>
      </c>
      <c r="C132" s="17" t="s">
        <v>235</v>
      </c>
      <c r="D132" s="8">
        <v>0.02</v>
      </c>
      <c r="E132" s="8">
        <v>0.01</v>
      </c>
      <c r="F132" s="18">
        <v>1.4</v>
      </c>
      <c r="G132" s="8">
        <v>1</v>
      </c>
      <c r="H132" s="8">
        <v>0.01</v>
      </c>
      <c r="I132" s="8" t="s">
        <v>47</v>
      </c>
      <c r="J132" s="8">
        <v>0.5</v>
      </c>
      <c r="K132" s="8">
        <v>0.5</v>
      </c>
      <c r="L132" s="8">
        <v>10</v>
      </c>
      <c r="M132" s="8">
        <v>3494</v>
      </c>
      <c r="N132" s="8" t="s">
        <v>16</v>
      </c>
      <c r="O132" s="19" t="s">
        <v>49</v>
      </c>
      <c r="P132" s="8">
        <v>0.8</v>
      </c>
      <c r="Q132" s="8">
        <f>ROUND(((D132*E132*F132*G132*H132*J132*L132*1000000*K132/3600)*(1-P132)),4)</f>
        <v>4.0000000000000002E-4</v>
      </c>
      <c r="R132" s="8">
        <f>ROUND((D132*E132*F132*G132*H132*J132*K132*M132*(1-P132)),4)</f>
        <v>5.0000000000000001E-4</v>
      </c>
      <c r="S132" s="65"/>
      <c r="T132" s="65"/>
      <c r="U132" s="896"/>
      <c r="V132" s="4"/>
      <c r="W132" s="4"/>
      <c r="X132" s="4"/>
    </row>
    <row r="133" spans="1:24" ht="9.9499999999999993" customHeight="1" x14ac:dyDescent="0.25">
      <c r="A133" s="1206" t="s">
        <v>72</v>
      </c>
      <c r="B133" s="1207"/>
      <c r="C133" s="1207"/>
      <c r="D133" s="1207"/>
      <c r="E133" s="1207"/>
      <c r="F133" s="1207"/>
      <c r="G133" s="1207"/>
      <c r="H133" s="1207"/>
      <c r="I133" s="1207"/>
      <c r="J133" s="1207"/>
      <c r="K133" s="1207"/>
      <c r="L133" s="1207"/>
      <c r="M133" s="1207"/>
      <c r="N133" s="1207"/>
      <c r="O133" s="1207"/>
      <c r="P133" s="1207"/>
      <c r="Q133" s="1207"/>
      <c r="R133" s="1208"/>
      <c r="S133" s="893"/>
      <c r="T133" s="893"/>
      <c r="U133" s="896"/>
      <c r="V133" s="4"/>
      <c r="W133" s="4"/>
      <c r="X133" s="4"/>
    </row>
    <row r="134" spans="1:24" ht="24" customHeight="1" x14ac:dyDescent="0.25">
      <c r="A134" s="1136" t="s">
        <v>517</v>
      </c>
      <c r="B134" s="1137"/>
      <c r="C134" s="1137"/>
      <c r="D134" s="1137"/>
      <c r="E134" s="1137"/>
      <c r="F134" s="1137"/>
      <c r="G134" s="1137"/>
      <c r="H134" s="1137"/>
      <c r="I134" s="1137"/>
      <c r="J134" s="1137"/>
      <c r="K134" s="1137"/>
      <c r="L134" s="1137"/>
      <c r="M134" s="1138"/>
      <c r="N134" s="194" t="s">
        <v>16</v>
      </c>
      <c r="O134" s="225" t="s">
        <v>49</v>
      </c>
      <c r="P134" s="8"/>
      <c r="Q134" s="194">
        <f>MAX(Q130,Q131,Q132)</f>
        <v>2.3E-3</v>
      </c>
      <c r="R134" s="194">
        <f>R130+R131+R132</f>
        <v>5.9000000000000007E-3</v>
      </c>
      <c r="S134" s="871">
        <f>Q122+Q128+Q134</f>
        <v>8.6E-3</v>
      </c>
      <c r="T134" s="871">
        <f>R122+R128+R134</f>
        <v>5.7150000000000006E-2</v>
      </c>
      <c r="U134" s="871">
        <v>2028</v>
      </c>
      <c r="V134" s="4"/>
      <c r="W134" s="4"/>
      <c r="X134" s="4"/>
    </row>
    <row r="135" spans="1:24" ht="15" customHeight="1" x14ac:dyDescent="0.3">
      <c r="A135" s="1296" t="s">
        <v>63</v>
      </c>
      <c r="B135" s="1288"/>
      <c r="C135" s="1288"/>
      <c r="D135" s="1288"/>
      <c r="E135" s="1288"/>
      <c r="F135" s="1288"/>
      <c r="G135" s="1288"/>
      <c r="H135" s="1288"/>
      <c r="I135" s="1288"/>
      <c r="J135" s="1288"/>
      <c r="K135" s="1288"/>
      <c r="L135" s="1288"/>
      <c r="M135" s="1288"/>
      <c r="N135" s="1288"/>
      <c r="O135" s="1288"/>
      <c r="P135" s="1288"/>
      <c r="Q135" s="1288"/>
      <c r="R135" s="1289"/>
      <c r="S135" s="892"/>
      <c r="T135" s="892"/>
    </row>
    <row r="136" spans="1:24" ht="15" customHeight="1" x14ac:dyDescent="0.25">
      <c r="A136" s="1171" t="s">
        <v>302</v>
      </c>
      <c r="B136" s="1283"/>
      <c r="C136" s="1283"/>
      <c r="D136" s="1283"/>
      <c r="E136" s="1283"/>
      <c r="F136" s="1283"/>
      <c r="G136" s="1283"/>
      <c r="H136" s="1283"/>
      <c r="I136" s="1283"/>
      <c r="J136" s="1283"/>
      <c r="K136" s="1283"/>
      <c r="L136" s="1283"/>
      <c r="M136" s="1283"/>
      <c r="N136" s="1283"/>
      <c r="O136" s="1283"/>
      <c r="P136" s="1283"/>
      <c r="Q136" s="1283"/>
      <c r="R136" s="1284"/>
      <c r="S136" s="892"/>
      <c r="T136" s="892"/>
    </row>
    <row r="137" spans="1:24" ht="32.25" customHeight="1" x14ac:dyDescent="0.25">
      <c r="A137" s="1225">
        <v>711701</v>
      </c>
      <c r="B137" s="756" t="s">
        <v>303</v>
      </c>
      <c r="C137" s="17" t="s">
        <v>251</v>
      </c>
      <c r="D137" s="8">
        <v>0.04</v>
      </c>
      <c r="E137" s="8">
        <v>0.02</v>
      </c>
      <c r="F137" s="18">
        <v>1.4</v>
      </c>
      <c r="G137" s="8">
        <v>1</v>
      </c>
      <c r="H137" s="8">
        <v>0.01</v>
      </c>
      <c r="I137" s="8" t="s">
        <v>47</v>
      </c>
      <c r="J137" s="8">
        <v>0.5</v>
      </c>
      <c r="K137" s="8">
        <v>0.5</v>
      </c>
      <c r="L137" s="8">
        <v>30</v>
      </c>
      <c r="M137" s="8">
        <v>19657</v>
      </c>
      <c r="N137" s="8" t="s">
        <v>16</v>
      </c>
      <c r="O137" s="19" t="s">
        <v>49</v>
      </c>
      <c r="P137" s="8">
        <v>0.8</v>
      </c>
      <c r="Q137" s="8">
        <f>ROUND(((D137*E137*F137*G137*H137*J137*L137*1000000*K137/3600)*(1-P137)),4)</f>
        <v>4.7000000000000002E-3</v>
      </c>
      <c r="R137" s="8">
        <f>ROUND((D137*E137*F137*G137*H137*J137*K137*M137*(1-P137)),4)</f>
        <v>1.0999999999999999E-2</v>
      </c>
      <c r="S137" s="65"/>
      <c r="T137" s="65"/>
      <c r="U137" s="897"/>
      <c r="V137" s="5" t="s">
        <v>66</v>
      </c>
      <c r="W137" s="5"/>
    </row>
    <row r="138" spans="1:24" ht="24.75" customHeight="1" x14ac:dyDescent="0.25">
      <c r="A138" s="1225"/>
      <c r="B138" s="756" t="s">
        <v>304</v>
      </c>
      <c r="C138" s="17" t="s">
        <v>235</v>
      </c>
      <c r="D138" s="8">
        <v>0.02</v>
      </c>
      <c r="E138" s="8">
        <v>0.01</v>
      </c>
      <c r="F138" s="18">
        <v>1.4</v>
      </c>
      <c r="G138" s="8">
        <v>1</v>
      </c>
      <c r="H138" s="8">
        <v>0.01</v>
      </c>
      <c r="I138" s="8" t="s">
        <v>47</v>
      </c>
      <c r="J138" s="8">
        <v>0.5</v>
      </c>
      <c r="K138" s="8">
        <v>0.5</v>
      </c>
      <c r="L138" s="8">
        <v>10</v>
      </c>
      <c r="M138" s="8">
        <v>2461</v>
      </c>
      <c r="N138" s="8" t="s">
        <v>16</v>
      </c>
      <c r="O138" s="19" t="s">
        <v>49</v>
      </c>
      <c r="P138" s="8">
        <v>0.8</v>
      </c>
      <c r="Q138" s="8">
        <f>ROUND(((D138*E138*F138*G138*H138*J138*L138*1000000*K138/3600)*(1-P138)),4)</f>
        <v>4.0000000000000002E-4</v>
      </c>
      <c r="R138" s="8">
        <f>ROUND((D138*E138*F138*G138*H138*J138*K138*M138*(1-P138)),4)</f>
        <v>2.9999999999999997E-4</v>
      </c>
      <c r="S138" s="65"/>
      <c r="T138" s="65"/>
      <c r="U138" s="896"/>
      <c r="V138" s="4"/>
      <c r="W138" s="4"/>
    </row>
    <row r="139" spans="1:24" ht="31.5" customHeight="1" x14ac:dyDescent="0.25">
      <c r="A139" s="1237"/>
      <c r="B139" s="756" t="s">
        <v>1208</v>
      </c>
      <c r="C139" s="17" t="s">
        <v>235</v>
      </c>
      <c r="D139" s="8">
        <v>0.02</v>
      </c>
      <c r="E139" s="8">
        <v>0.01</v>
      </c>
      <c r="F139" s="18">
        <v>1.4</v>
      </c>
      <c r="G139" s="8">
        <v>1</v>
      </c>
      <c r="H139" s="8">
        <v>0.01</v>
      </c>
      <c r="I139" s="8" t="s">
        <v>47</v>
      </c>
      <c r="J139" s="8">
        <v>0.5</v>
      </c>
      <c r="K139" s="8">
        <v>0.5</v>
      </c>
      <c r="L139" s="8">
        <v>22</v>
      </c>
      <c r="M139" s="8">
        <v>13972</v>
      </c>
      <c r="N139" s="8" t="s">
        <v>16</v>
      </c>
      <c r="O139" s="19" t="s">
        <v>49</v>
      </c>
      <c r="P139" s="8">
        <v>0.8</v>
      </c>
      <c r="Q139" s="8">
        <f>ROUND(((D139*E139*F139*G139*H139*J139*L139*1000000*K139/3600)*(1-P139)),4)</f>
        <v>8.9999999999999998E-4</v>
      </c>
      <c r="R139" s="8">
        <f>ROUND((D139*E139*F139*G139*H139*J139*K139*M139*(1-P139)),4)</f>
        <v>2E-3</v>
      </c>
      <c r="S139" s="65"/>
      <c r="T139" s="65"/>
      <c r="U139" s="896"/>
      <c r="V139" s="4"/>
      <c r="W139" s="4"/>
    </row>
    <row r="140" spans="1:24" ht="9.9499999999999993" customHeight="1" x14ac:dyDescent="0.25">
      <c r="A140" s="1206" t="s">
        <v>72</v>
      </c>
      <c r="B140" s="1207"/>
      <c r="C140" s="1207"/>
      <c r="D140" s="1207"/>
      <c r="E140" s="1207"/>
      <c r="F140" s="1207"/>
      <c r="G140" s="1207"/>
      <c r="H140" s="1207"/>
      <c r="I140" s="1207"/>
      <c r="J140" s="1207"/>
      <c r="K140" s="1207"/>
      <c r="L140" s="1207"/>
      <c r="M140" s="1207"/>
      <c r="N140" s="1207"/>
      <c r="O140" s="1207"/>
      <c r="P140" s="1207"/>
      <c r="Q140" s="1207"/>
      <c r="R140" s="1208"/>
      <c r="S140" s="893"/>
      <c r="T140" s="893"/>
      <c r="U140" s="896"/>
      <c r="V140" s="4"/>
      <c r="W140" s="4"/>
    </row>
    <row r="141" spans="1:24" ht="24" customHeight="1" x14ac:dyDescent="0.25">
      <c r="A141" s="1136" t="s">
        <v>517</v>
      </c>
      <c r="B141" s="1137"/>
      <c r="C141" s="1137"/>
      <c r="D141" s="1137"/>
      <c r="E141" s="1137"/>
      <c r="F141" s="1137"/>
      <c r="G141" s="1137"/>
      <c r="H141" s="1137"/>
      <c r="I141" s="1137"/>
      <c r="J141" s="1137"/>
      <c r="K141" s="1137"/>
      <c r="L141" s="1137"/>
      <c r="M141" s="1138"/>
      <c r="N141" s="194" t="s">
        <v>16</v>
      </c>
      <c r="O141" s="225" t="s">
        <v>49</v>
      </c>
      <c r="P141" s="8"/>
      <c r="Q141" s="194">
        <f>MAX(Q137,Q138,Q139)</f>
        <v>4.7000000000000002E-3</v>
      </c>
      <c r="R141" s="194">
        <f>R137+R138+R139</f>
        <v>1.3299999999999999E-2</v>
      </c>
      <c r="S141" s="872">
        <f>Q141</f>
        <v>4.7000000000000002E-3</v>
      </c>
      <c r="T141" s="872">
        <f>R141</f>
        <v>1.3299999999999999E-2</v>
      </c>
      <c r="U141" s="871">
        <v>2029</v>
      </c>
      <c r="V141" s="4"/>
      <c r="W141" s="4"/>
    </row>
  </sheetData>
  <mergeCells count="97">
    <mergeCell ref="A140:R140"/>
    <mergeCell ref="A141:M141"/>
    <mergeCell ref="A136:R136"/>
    <mergeCell ref="A129:R129"/>
    <mergeCell ref="A133:R133"/>
    <mergeCell ref="A134:M134"/>
    <mergeCell ref="A130:A132"/>
    <mergeCell ref="A135:R135"/>
    <mergeCell ref="A137:A139"/>
    <mergeCell ref="A113:A114"/>
    <mergeCell ref="A111:R111"/>
    <mergeCell ref="A99:R99"/>
    <mergeCell ref="A98:M98"/>
    <mergeCell ref="A86:R86"/>
    <mergeCell ref="A91:R91"/>
    <mergeCell ref="A92:A96"/>
    <mergeCell ref="A97:R97"/>
    <mergeCell ref="A88:R88"/>
    <mergeCell ref="A100:R100"/>
    <mergeCell ref="A101:R101"/>
    <mergeCell ref="A106:R106"/>
    <mergeCell ref="A112:R112"/>
    <mergeCell ref="A107:A108"/>
    <mergeCell ref="A109:R109"/>
    <mergeCell ref="A110:M110"/>
    <mergeCell ref="A116:M116"/>
    <mergeCell ref="A115:R115"/>
    <mergeCell ref="A127:R127"/>
    <mergeCell ref="A128:M128"/>
    <mergeCell ref="A124:A126"/>
    <mergeCell ref="A123:R123"/>
    <mergeCell ref="A118:R118"/>
    <mergeCell ref="A119:A120"/>
    <mergeCell ref="A122:M122"/>
    <mergeCell ref="A121:R121"/>
    <mergeCell ref="A117:R117"/>
    <mergeCell ref="A77:A79"/>
    <mergeCell ref="A80:R80"/>
    <mergeCell ref="A81:M81"/>
    <mergeCell ref="A82:R82"/>
    <mergeCell ref="A83:A85"/>
    <mergeCell ref="A87:M87"/>
    <mergeCell ref="A90:R90"/>
    <mergeCell ref="A33:R33"/>
    <mergeCell ref="A38:M38"/>
    <mergeCell ref="A34:R34"/>
    <mergeCell ref="A35:A36"/>
    <mergeCell ref="A37:R37"/>
    <mergeCell ref="A74:R74"/>
    <mergeCell ref="A62:R62"/>
    <mergeCell ref="A63:R63"/>
    <mergeCell ref="A64:A71"/>
    <mergeCell ref="A73:M73"/>
    <mergeCell ref="A72:R72"/>
    <mergeCell ref="A60:R60"/>
    <mergeCell ref="A43:R43"/>
    <mergeCell ref="A48:R48"/>
    <mergeCell ref="A1:O1"/>
    <mergeCell ref="A3:O3"/>
    <mergeCell ref="A4:O4"/>
    <mergeCell ref="A6:O6"/>
    <mergeCell ref="A7:O7"/>
    <mergeCell ref="A8:O8"/>
    <mergeCell ref="A9:O9"/>
    <mergeCell ref="A10:O10"/>
    <mergeCell ref="A11:O11"/>
    <mergeCell ref="A12:O12"/>
    <mergeCell ref="A13:O13"/>
    <mergeCell ref="A14:O14"/>
    <mergeCell ref="A15:O15"/>
    <mergeCell ref="A16:O16"/>
    <mergeCell ref="A17:O17"/>
    <mergeCell ref="Q29:R29"/>
    <mergeCell ref="A18:O18"/>
    <mergeCell ref="A19:O19"/>
    <mergeCell ref="A21:O21"/>
    <mergeCell ref="A29:A30"/>
    <mergeCell ref="B29:B30"/>
    <mergeCell ref="C29:C30"/>
    <mergeCell ref="N29:N30"/>
    <mergeCell ref="O29:O30"/>
    <mergeCell ref="A76:R76"/>
    <mergeCell ref="A32:R32"/>
    <mergeCell ref="A102:A103"/>
    <mergeCell ref="A104:R104"/>
    <mergeCell ref="A105:M105"/>
    <mergeCell ref="A45:R45"/>
    <mergeCell ref="A39:R39"/>
    <mergeCell ref="A46:R46"/>
    <mergeCell ref="A41:R41"/>
    <mergeCell ref="A52:R52"/>
    <mergeCell ref="A53:M53"/>
    <mergeCell ref="A49:A51"/>
    <mergeCell ref="A58:R58"/>
    <mergeCell ref="A59:M59"/>
    <mergeCell ref="A54:R54"/>
    <mergeCell ref="A55:A57"/>
  </mergeCells>
  <pageMargins left="0.31496062992125984" right="0.31496062992125984" top="0.78740157480314965" bottom="0.39370078740157483" header="0.31496062992125984" footer="0.19685039370078741"/>
  <pageSetup paperSize="9" firstPageNumber="50" orientation="landscape" useFirstPageNumber="1" r:id="rId1"/>
  <headerFooter>
    <oddFooter>&amp;R&amp;P</oddFooter>
  </headerFooter>
  <rowBreaks count="1" manualBreakCount="1">
    <brk id="123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E16E7-9B79-4A3D-9FD1-E0350DDEDDBA}">
  <sheetPr>
    <tabColor theme="0"/>
  </sheetPr>
  <dimension ref="A1:O53"/>
  <sheetViews>
    <sheetView view="pageBreakPreview" topLeftCell="A13" zoomScale="85" zoomScaleNormal="100" zoomScaleSheetLayoutView="85" workbookViewId="0">
      <selection activeCell="J14" sqref="J1:O1048576"/>
    </sheetView>
  </sheetViews>
  <sheetFormatPr defaultRowHeight="15" x14ac:dyDescent="0.25"/>
  <cols>
    <col min="2" max="2" width="28.42578125" customWidth="1"/>
    <col min="4" max="4" width="11.42578125" customWidth="1"/>
    <col min="6" max="6" width="34.5703125" customWidth="1"/>
    <col min="8" max="8" width="12.85546875" customWidth="1"/>
    <col min="9" max="9" width="11.42578125" customWidth="1"/>
    <col min="10" max="10" width="10.85546875" style="881" customWidth="1"/>
    <col min="11" max="15" width="9.140625" style="881"/>
  </cols>
  <sheetData>
    <row r="1" spans="1:15" ht="18.75" x14ac:dyDescent="0.3">
      <c r="A1" s="1103" t="s">
        <v>960</v>
      </c>
      <c r="B1" s="1103"/>
      <c r="C1" s="1103"/>
      <c r="D1" s="1103"/>
      <c r="E1" s="1103"/>
      <c r="F1" s="1103"/>
      <c r="G1" s="1103"/>
      <c r="H1" s="1103"/>
      <c r="I1" s="1103"/>
    </row>
    <row r="2" spans="1:15" ht="18.75" x14ac:dyDescent="0.3">
      <c r="A2" s="81"/>
      <c r="B2" s="81"/>
      <c r="C2" s="81"/>
      <c r="D2" s="81"/>
      <c r="E2" s="81"/>
      <c r="F2" s="81"/>
      <c r="G2" s="81"/>
      <c r="H2" s="81"/>
      <c r="I2" s="81"/>
    </row>
    <row r="3" spans="1:15" s="62" customFormat="1" ht="15.75" x14ac:dyDescent="0.25">
      <c r="A3" s="1312" t="s">
        <v>611</v>
      </c>
      <c r="B3" s="1312"/>
      <c r="C3" s="1312"/>
      <c r="D3" s="1312"/>
      <c r="E3" s="1312"/>
      <c r="F3" s="1312"/>
      <c r="G3" s="1312"/>
      <c r="H3" s="1312"/>
      <c r="I3" s="1312"/>
      <c r="J3" s="1312"/>
      <c r="K3" s="1312"/>
      <c r="L3" s="1312"/>
      <c r="M3" s="1312"/>
      <c r="N3" s="1312"/>
      <c r="O3" s="1312"/>
    </row>
    <row r="4" spans="1:15" s="62" customFormat="1" ht="36" customHeight="1" x14ac:dyDescent="0.25">
      <c r="A4" s="1101" t="s">
        <v>952</v>
      </c>
      <c r="B4" s="1101"/>
      <c r="C4" s="1101"/>
      <c r="D4" s="1101"/>
      <c r="E4" s="1101"/>
      <c r="F4" s="1101"/>
      <c r="G4" s="1101"/>
      <c r="H4" s="1101"/>
      <c r="I4" s="1101"/>
      <c r="J4" s="882"/>
      <c r="K4" s="882"/>
      <c r="L4" s="882"/>
      <c r="M4" s="882"/>
      <c r="N4" s="882"/>
      <c r="O4" s="882"/>
    </row>
    <row r="5" spans="1:15" s="77" customFormat="1" ht="15" customHeight="1" x14ac:dyDescent="0.3">
      <c r="A5" s="58"/>
      <c r="B5" s="58"/>
      <c r="C5" s="58"/>
      <c r="D5" s="58"/>
      <c r="E5" s="58"/>
      <c r="F5" s="58"/>
      <c r="G5" s="58"/>
      <c r="H5" s="58"/>
      <c r="I5" s="58"/>
      <c r="J5" s="882"/>
      <c r="K5" s="882"/>
      <c r="L5" s="882"/>
      <c r="M5" s="882"/>
      <c r="N5" s="882"/>
      <c r="O5" s="882"/>
    </row>
    <row r="6" spans="1:15" s="14" customFormat="1" ht="36" customHeight="1" x14ac:dyDescent="0.3">
      <c r="A6" s="1117" t="s">
        <v>953</v>
      </c>
      <c r="B6" s="1117"/>
      <c r="C6" s="1117"/>
      <c r="D6" s="1117"/>
      <c r="E6" s="1117"/>
      <c r="F6" s="1117"/>
      <c r="G6" s="1117"/>
      <c r="H6" s="1117"/>
      <c r="I6" s="1117"/>
      <c r="J6" s="605"/>
      <c r="K6" s="605"/>
      <c r="L6" s="605"/>
      <c r="M6" s="605"/>
      <c r="N6" s="605"/>
      <c r="O6" s="605"/>
    </row>
    <row r="7" spans="1:15" s="14" customFormat="1" ht="14.25" customHeight="1" x14ac:dyDescent="0.3">
      <c r="A7" s="58"/>
      <c r="B7" s="58"/>
      <c r="C7" s="58"/>
      <c r="D7" s="58"/>
      <c r="E7" s="58"/>
      <c r="F7" s="58"/>
      <c r="G7" s="58"/>
      <c r="H7" s="58"/>
      <c r="I7" s="58"/>
      <c r="J7" s="605"/>
      <c r="K7" s="605"/>
      <c r="L7" s="605"/>
      <c r="M7" s="605"/>
      <c r="N7" s="605"/>
      <c r="O7" s="605"/>
    </row>
    <row r="8" spans="1:15" s="14" customFormat="1" ht="22.5" customHeight="1" x14ac:dyDescent="0.3">
      <c r="A8" s="1117" t="s">
        <v>959</v>
      </c>
      <c r="B8" s="1117"/>
      <c r="C8" s="1117"/>
      <c r="D8" s="1117"/>
      <c r="E8" s="1117"/>
      <c r="F8" s="1117"/>
      <c r="G8" s="1117"/>
      <c r="H8" s="1117"/>
      <c r="I8" s="1117"/>
      <c r="J8" s="605"/>
      <c r="K8" s="605"/>
      <c r="L8" s="605"/>
      <c r="M8" s="605"/>
      <c r="N8" s="605"/>
      <c r="O8" s="605"/>
    </row>
    <row r="9" spans="1:15" s="14" customFormat="1" ht="11.25" customHeight="1" x14ac:dyDescent="0.3">
      <c r="A9" s="58"/>
      <c r="B9" s="58"/>
      <c r="C9" s="58"/>
      <c r="D9" s="58"/>
      <c r="E9" s="58"/>
      <c r="F9" s="58"/>
      <c r="G9" s="58"/>
      <c r="H9" s="58"/>
      <c r="I9" s="58"/>
      <c r="J9" s="605"/>
      <c r="K9" s="605"/>
      <c r="L9" s="605"/>
      <c r="M9" s="605"/>
      <c r="N9" s="605"/>
      <c r="O9" s="605"/>
    </row>
    <row r="10" spans="1:15" s="14" customFormat="1" ht="18.75" x14ac:dyDescent="0.3">
      <c r="A10" s="1103" t="s">
        <v>954</v>
      </c>
      <c r="B10" s="1103"/>
      <c r="C10" s="1103"/>
      <c r="D10" s="1103"/>
      <c r="E10" s="1103"/>
      <c r="F10" s="1103"/>
      <c r="G10" s="1103"/>
      <c r="H10" s="1103"/>
      <c r="I10" s="1103"/>
      <c r="J10" s="605"/>
      <c r="K10" s="605"/>
      <c r="L10" s="605"/>
      <c r="M10" s="605"/>
      <c r="N10" s="605"/>
      <c r="O10" s="605"/>
    </row>
    <row r="11" spans="1:15" s="14" customFormat="1" ht="9" customHeight="1" x14ac:dyDescent="0.3">
      <c r="A11" s="81"/>
      <c r="B11" s="81"/>
      <c r="C11" s="81"/>
      <c r="D11" s="81"/>
      <c r="E11" s="81"/>
      <c r="F11" s="81"/>
      <c r="G11" s="81"/>
      <c r="H11" s="81"/>
      <c r="I11" s="81"/>
      <c r="J11" s="605"/>
      <c r="K11" s="605"/>
      <c r="L11" s="605"/>
      <c r="M11" s="605"/>
      <c r="N11" s="605"/>
      <c r="O11" s="605"/>
    </row>
    <row r="12" spans="1:15" s="14" customFormat="1" ht="18.75" x14ac:dyDescent="0.3">
      <c r="A12" s="1103" t="s">
        <v>955</v>
      </c>
      <c r="B12" s="1103"/>
      <c r="C12" s="1103"/>
      <c r="D12" s="1103"/>
      <c r="E12" s="1103"/>
      <c r="F12" s="1103"/>
      <c r="G12" s="1103"/>
      <c r="H12" s="1103"/>
      <c r="I12" s="1103"/>
      <c r="J12" s="605"/>
      <c r="K12" s="605"/>
      <c r="L12" s="605"/>
      <c r="M12" s="605"/>
      <c r="N12" s="605"/>
      <c r="O12" s="605"/>
    </row>
    <row r="13" spans="1:15" s="61" customFormat="1" ht="14.25" customHeight="1" x14ac:dyDescent="0.25">
      <c r="A13" s="1311" t="s">
        <v>744</v>
      </c>
      <c r="B13" s="1311"/>
      <c r="C13" s="1311"/>
      <c r="D13" s="1311"/>
      <c r="E13" s="1311"/>
      <c r="F13" s="1311"/>
      <c r="G13" s="1311"/>
      <c r="H13" s="1311"/>
      <c r="I13" s="1311"/>
      <c r="J13" s="1311"/>
      <c r="K13" s="1311"/>
      <c r="L13" s="1311"/>
      <c r="M13" s="1311"/>
      <c r="N13" s="1311"/>
      <c r="O13" s="1311"/>
    </row>
    <row r="14" spans="1:15" s="61" customFormat="1" ht="15" customHeight="1" x14ac:dyDescent="0.25">
      <c r="A14" s="1101" t="s">
        <v>956</v>
      </c>
      <c r="B14" s="1101"/>
      <c r="C14" s="1101"/>
      <c r="D14" s="1101"/>
      <c r="E14" s="1101"/>
      <c r="F14" s="1101"/>
      <c r="G14" s="1101"/>
      <c r="H14" s="1101"/>
      <c r="I14" s="1101"/>
      <c r="J14" s="882"/>
      <c r="K14" s="882"/>
      <c r="L14" s="882"/>
      <c r="M14" s="882"/>
      <c r="N14" s="882"/>
      <c r="O14" s="882"/>
    </row>
    <row r="15" spans="1:15" s="61" customFormat="1" ht="15" customHeight="1" x14ac:dyDescent="0.25">
      <c r="A15" s="1101" t="s">
        <v>957</v>
      </c>
      <c r="B15" s="1101"/>
      <c r="C15" s="1101"/>
      <c r="D15" s="1101"/>
      <c r="E15" s="1101"/>
      <c r="F15" s="1101"/>
      <c r="G15" s="1101"/>
      <c r="H15" s="1101"/>
      <c r="I15" s="1101"/>
      <c r="J15" s="882"/>
      <c r="K15" s="882"/>
      <c r="L15" s="882"/>
      <c r="M15" s="882"/>
      <c r="N15" s="882"/>
      <c r="O15" s="882"/>
    </row>
    <row r="16" spans="1:15" s="61" customFormat="1" ht="15" customHeight="1" x14ac:dyDescent="0.25">
      <c r="A16" s="1101" t="s">
        <v>958</v>
      </c>
      <c r="B16" s="1101"/>
      <c r="C16" s="1101"/>
      <c r="D16" s="1101"/>
      <c r="E16" s="1101"/>
      <c r="F16" s="1101"/>
      <c r="G16" s="1101"/>
      <c r="H16" s="1101"/>
      <c r="I16" s="1101"/>
      <c r="J16" s="882"/>
      <c r="K16" s="882"/>
      <c r="L16" s="882"/>
      <c r="M16" s="882"/>
      <c r="N16" s="882"/>
      <c r="O16" s="882"/>
    </row>
    <row r="17" spans="1:15" s="61" customFormat="1" ht="15" customHeight="1" x14ac:dyDescent="0.25">
      <c r="A17" s="85"/>
      <c r="B17" s="85"/>
      <c r="C17" s="85"/>
      <c r="D17" s="85"/>
      <c r="E17" s="85"/>
      <c r="F17" s="85"/>
      <c r="G17" s="85"/>
      <c r="H17" s="85"/>
      <c r="I17" s="85"/>
      <c r="J17" s="882"/>
      <c r="K17" s="882"/>
      <c r="L17" s="882"/>
      <c r="M17" s="882"/>
      <c r="N17" s="882"/>
      <c r="O17" s="882"/>
    </row>
    <row r="18" spans="1:15" s="61" customFormat="1" ht="18.75" x14ac:dyDescent="0.25">
      <c r="A18" s="1117" t="s">
        <v>1209</v>
      </c>
      <c r="B18" s="1117"/>
      <c r="C18" s="1117"/>
      <c r="D18" s="1117"/>
      <c r="E18" s="1117"/>
      <c r="F18" s="1117"/>
      <c r="G18" s="1117"/>
      <c r="H18" s="1117"/>
      <c r="I18" s="1117"/>
      <c r="J18" s="1117"/>
      <c r="K18" s="1117"/>
      <c r="L18" s="1117"/>
      <c r="M18" s="1117"/>
      <c r="N18" s="1117"/>
      <c r="O18" s="1117"/>
    </row>
    <row r="19" spans="1:15" ht="10.5" customHeight="1" x14ac:dyDescent="0.3">
      <c r="A19" s="81"/>
      <c r="B19" s="81"/>
      <c r="C19" s="81"/>
      <c r="D19" s="81"/>
      <c r="E19" s="81"/>
      <c r="F19" s="81"/>
      <c r="G19" s="81"/>
      <c r="H19" s="81"/>
      <c r="I19" s="81"/>
    </row>
    <row r="20" spans="1:15" ht="18.75" x14ac:dyDescent="0.3">
      <c r="A20" s="14" t="s">
        <v>782</v>
      </c>
    </row>
    <row r="21" spans="1:15" x14ac:dyDescent="0.25">
      <c r="A21" s="1322" t="s">
        <v>0</v>
      </c>
      <c r="B21" s="1323" t="s">
        <v>52</v>
      </c>
      <c r="C21" s="1322" t="s">
        <v>53</v>
      </c>
      <c r="D21" s="1319" t="s">
        <v>54</v>
      </c>
      <c r="E21" s="1319" t="s">
        <v>55</v>
      </c>
      <c r="F21" s="1316" t="s">
        <v>56</v>
      </c>
      <c r="G21" s="1319" t="s">
        <v>42</v>
      </c>
      <c r="H21" s="1316" t="s">
        <v>57</v>
      </c>
      <c r="I21" s="1320"/>
    </row>
    <row r="22" spans="1:15" x14ac:dyDescent="0.25">
      <c r="A22" s="1218"/>
      <c r="B22" s="1324"/>
      <c r="C22" s="1218"/>
      <c r="D22" s="1238"/>
      <c r="E22" s="1238"/>
      <c r="F22" s="1317"/>
      <c r="G22" s="1238"/>
      <c r="H22" s="1318"/>
      <c r="I22" s="1321"/>
    </row>
    <row r="23" spans="1:15" x14ac:dyDescent="0.25">
      <c r="A23" s="1219"/>
      <c r="B23" s="1325"/>
      <c r="C23" s="1219"/>
      <c r="D23" s="1239"/>
      <c r="E23" s="1239"/>
      <c r="F23" s="1318"/>
      <c r="G23" s="1239"/>
      <c r="H23" s="210" t="s">
        <v>46</v>
      </c>
      <c r="I23" s="183" t="s">
        <v>45</v>
      </c>
    </row>
    <row r="24" spans="1:15" x14ac:dyDescent="0.25">
      <c r="A24" s="226">
        <v>1</v>
      </c>
      <c r="B24" s="210">
        <v>2</v>
      </c>
      <c r="C24" s="226">
        <v>3</v>
      </c>
      <c r="D24" s="13">
        <v>4</v>
      </c>
      <c r="E24" s="227">
        <v>5</v>
      </c>
      <c r="F24" s="228">
        <v>6</v>
      </c>
      <c r="G24" s="226">
        <v>7</v>
      </c>
      <c r="H24" s="210">
        <v>8</v>
      </c>
      <c r="I24" s="183">
        <v>9</v>
      </c>
    </row>
    <row r="25" spans="1:15" ht="17.25" customHeight="1" x14ac:dyDescent="0.25">
      <c r="A25" s="1326" t="s">
        <v>62</v>
      </c>
      <c r="B25" s="1327"/>
      <c r="C25" s="1327"/>
      <c r="D25" s="1327"/>
      <c r="E25" s="1327"/>
      <c r="F25" s="1327"/>
      <c r="G25" s="1327"/>
      <c r="H25" s="1327"/>
      <c r="I25" s="1328"/>
    </row>
    <row r="26" spans="1:15" s="67" customFormat="1" ht="20.100000000000001" customHeight="1" x14ac:dyDescent="0.3">
      <c r="A26" s="1329" t="s">
        <v>5</v>
      </c>
      <c r="B26" s="1330"/>
      <c r="C26" s="1330"/>
      <c r="D26" s="1330"/>
      <c r="E26" s="1330"/>
      <c r="F26" s="1330"/>
      <c r="G26" s="1330"/>
      <c r="H26" s="1330"/>
      <c r="I26" s="1331"/>
      <c r="J26" s="883"/>
      <c r="K26" s="883"/>
      <c r="L26" s="883"/>
      <c r="M26" s="883"/>
      <c r="N26" s="883"/>
      <c r="O26" s="883"/>
    </row>
    <row r="27" spans="1:15" ht="20.100000000000001" customHeight="1" x14ac:dyDescent="0.25">
      <c r="A27" s="1313" t="s">
        <v>264</v>
      </c>
      <c r="B27" s="1314"/>
      <c r="C27" s="1314"/>
      <c r="D27" s="1314"/>
      <c r="E27" s="1314"/>
      <c r="F27" s="1314"/>
      <c r="G27" s="1314"/>
      <c r="H27" s="1314"/>
      <c r="I27" s="1315"/>
    </row>
    <row r="28" spans="1:15" s="147" customFormat="1" ht="20.100000000000001" customHeight="1" x14ac:dyDescent="0.25">
      <c r="A28" s="229" t="s">
        <v>475</v>
      </c>
      <c r="B28" s="228" t="s">
        <v>58</v>
      </c>
      <c r="C28" s="183">
        <v>40</v>
      </c>
      <c r="D28" s="183">
        <v>29</v>
      </c>
      <c r="E28" s="183">
        <v>0.2</v>
      </c>
      <c r="F28" s="189" t="s">
        <v>1000</v>
      </c>
      <c r="G28" s="229" t="s">
        <v>59</v>
      </c>
      <c r="H28" s="210">
        <f>ROUND((I28*1000000/3600/C28),4)</f>
        <v>0.40279999999999999</v>
      </c>
      <c r="I28" s="183">
        <f>ROUND((D28*E28/100),4)</f>
        <v>5.8000000000000003E-2</v>
      </c>
      <c r="J28" s="884"/>
      <c r="K28" s="884"/>
      <c r="L28" s="884"/>
      <c r="M28" s="884"/>
      <c r="N28" s="884"/>
      <c r="O28" s="884"/>
    </row>
    <row r="29" spans="1:15" ht="20.100000000000001" customHeight="1" x14ac:dyDescent="0.25">
      <c r="A29" s="1313" t="s">
        <v>284</v>
      </c>
      <c r="B29" s="1314"/>
      <c r="C29" s="1314"/>
      <c r="D29" s="1314"/>
      <c r="E29" s="1314"/>
      <c r="F29" s="1314"/>
      <c r="G29" s="1314"/>
      <c r="H29" s="1314"/>
      <c r="I29" s="1315"/>
    </row>
    <row r="30" spans="1:15" s="147" customFormat="1" ht="20.100000000000001" customHeight="1" x14ac:dyDescent="0.25">
      <c r="A30" s="229" t="s">
        <v>495</v>
      </c>
      <c r="B30" s="228" t="s">
        <v>58</v>
      </c>
      <c r="C30" s="183">
        <v>40</v>
      </c>
      <c r="D30" s="183">
        <v>28</v>
      </c>
      <c r="E30" s="183">
        <v>0.2</v>
      </c>
      <c r="F30" s="189" t="s">
        <v>1000</v>
      </c>
      <c r="G30" s="229" t="s">
        <v>59</v>
      </c>
      <c r="H30" s="210">
        <f>ROUND((I30*1000000/3600/C30),4)</f>
        <v>0.38890000000000002</v>
      </c>
      <c r="I30" s="183">
        <f>ROUND((D30*E30/100),4)</f>
        <v>5.6000000000000001E-2</v>
      </c>
      <c r="J30" s="872">
        <f>H28+H30</f>
        <v>0.79170000000000007</v>
      </c>
      <c r="K30" s="871">
        <f>I28+I30</f>
        <v>0.114</v>
      </c>
      <c r="L30" s="869">
        <v>2026</v>
      </c>
      <c r="M30" s="884"/>
      <c r="N30" s="884"/>
      <c r="O30" s="884"/>
    </row>
    <row r="31" spans="1:15" s="67" customFormat="1" ht="20.100000000000001" customHeight="1" x14ac:dyDescent="0.3">
      <c r="A31" s="1329" t="s">
        <v>11</v>
      </c>
      <c r="B31" s="1330"/>
      <c r="C31" s="1330"/>
      <c r="D31" s="1330"/>
      <c r="E31" s="1330"/>
      <c r="F31" s="1330"/>
      <c r="G31" s="1330"/>
      <c r="H31" s="1330"/>
      <c r="I31" s="1331"/>
      <c r="J31" s="883"/>
      <c r="K31" s="883"/>
      <c r="L31" s="883"/>
      <c r="M31" s="883"/>
      <c r="N31" s="883"/>
      <c r="O31" s="883"/>
    </row>
    <row r="32" spans="1:15" ht="20.100000000000001" customHeight="1" x14ac:dyDescent="0.25">
      <c r="A32" s="1313" t="s">
        <v>260</v>
      </c>
      <c r="B32" s="1314"/>
      <c r="C32" s="1314"/>
      <c r="D32" s="1314"/>
      <c r="E32" s="1314"/>
      <c r="F32" s="1314"/>
      <c r="G32" s="1314"/>
      <c r="H32" s="1314"/>
      <c r="I32" s="1315"/>
    </row>
    <row r="33" spans="1:15" ht="20.100000000000001" customHeight="1" x14ac:dyDescent="0.25">
      <c r="A33" s="229" t="s">
        <v>460</v>
      </c>
      <c r="B33" s="228" t="s">
        <v>58</v>
      </c>
      <c r="C33" s="183">
        <v>112</v>
      </c>
      <c r="D33" s="183">
        <v>90</v>
      </c>
      <c r="E33" s="183">
        <v>0.2</v>
      </c>
      <c r="F33" s="189" t="s">
        <v>1000</v>
      </c>
      <c r="G33" s="229" t="s">
        <v>59</v>
      </c>
      <c r="H33" s="210">
        <f>ROUND((I33*1000000/3600/C33),4)</f>
        <v>0.44640000000000002</v>
      </c>
      <c r="I33" s="183">
        <f>ROUND((D33*E33/100),4)</f>
        <v>0.18</v>
      </c>
      <c r="J33" s="849">
        <f>H33</f>
        <v>0.44640000000000002</v>
      </c>
      <c r="K33" s="849">
        <f>I33</f>
        <v>0.18</v>
      </c>
      <c r="L33" s="861">
        <v>2027</v>
      </c>
    </row>
    <row r="34" spans="1:15" s="67" customFormat="1" ht="20.100000000000001" customHeight="1" x14ac:dyDescent="0.3">
      <c r="A34" s="1329" t="s">
        <v>60</v>
      </c>
      <c r="B34" s="1330"/>
      <c r="C34" s="1330"/>
      <c r="D34" s="1330"/>
      <c r="E34" s="1330"/>
      <c r="F34" s="1330"/>
      <c r="G34" s="1330"/>
      <c r="H34" s="1330"/>
      <c r="I34" s="1331"/>
      <c r="J34" s="883"/>
      <c r="K34" s="883"/>
      <c r="L34" s="883"/>
      <c r="M34" s="883"/>
      <c r="N34" s="883"/>
      <c r="O34" s="883"/>
    </row>
    <row r="35" spans="1:15" ht="20.100000000000001" customHeight="1" x14ac:dyDescent="0.25">
      <c r="A35" s="1313" t="s">
        <v>255</v>
      </c>
      <c r="B35" s="1314"/>
      <c r="C35" s="1314"/>
      <c r="D35" s="1314"/>
      <c r="E35" s="1314"/>
      <c r="F35" s="1314"/>
      <c r="G35" s="1314"/>
      <c r="H35" s="1314"/>
      <c r="I35" s="1315"/>
    </row>
    <row r="36" spans="1:15" ht="20.100000000000001" customHeight="1" x14ac:dyDescent="0.25">
      <c r="A36" s="229" t="s">
        <v>442</v>
      </c>
      <c r="B36" s="228" t="s">
        <v>58</v>
      </c>
      <c r="C36" s="183">
        <v>420</v>
      </c>
      <c r="D36" s="183">
        <v>90</v>
      </c>
      <c r="E36" s="183">
        <v>0.2</v>
      </c>
      <c r="F36" s="189" t="s">
        <v>1000</v>
      </c>
      <c r="G36" s="229" t="s">
        <v>59</v>
      </c>
      <c r="H36" s="210">
        <f>ROUND((I36*1000000/3600/C36),4)</f>
        <v>0.11899999999999999</v>
      </c>
      <c r="I36" s="183">
        <f>ROUND((D36*E36/100),4)</f>
        <v>0.18</v>
      </c>
    </row>
    <row r="37" spans="1:15" ht="20.100000000000001" customHeight="1" x14ac:dyDescent="0.25">
      <c r="A37" s="1313" t="s">
        <v>302</v>
      </c>
      <c r="B37" s="1314"/>
      <c r="C37" s="1314"/>
      <c r="D37" s="1314"/>
      <c r="E37" s="1314"/>
      <c r="F37" s="1314"/>
      <c r="G37" s="1314"/>
      <c r="H37" s="1314"/>
      <c r="I37" s="1315"/>
    </row>
    <row r="38" spans="1:15" ht="20.100000000000001" customHeight="1" x14ac:dyDescent="0.25">
      <c r="A38" s="229" t="s">
        <v>518</v>
      </c>
      <c r="B38" s="228" t="s">
        <v>58</v>
      </c>
      <c r="C38" s="183">
        <v>840</v>
      </c>
      <c r="D38" s="183">
        <v>224</v>
      </c>
      <c r="E38" s="183">
        <v>0.2</v>
      </c>
      <c r="F38" s="189" t="s">
        <v>1000</v>
      </c>
      <c r="G38" s="229" t="s">
        <v>59</v>
      </c>
      <c r="H38" s="210">
        <f>ROUND((I38*1000000/3600/C38),4)</f>
        <v>0.14810000000000001</v>
      </c>
      <c r="I38" s="183">
        <f>ROUND((D38*E38/100),4)</f>
        <v>0.44800000000000001</v>
      </c>
      <c r="J38" s="872">
        <f>H36+H38</f>
        <v>0.2671</v>
      </c>
      <c r="K38" s="871">
        <f>I36+I38</f>
        <v>0.628</v>
      </c>
      <c r="L38" s="869">
        <v>2028</v>
      </c>
    </row>
    <row r="39" spans="1:15" s="67" customFormat="1" ht="20.100000000000001" customHeight="1" x14ac:dyDescent="0.3">
      <c r="A39" s="1329" t="s">
        <v>63</v>
      </c>
      <c r="B39" s="1330"/>
      <c r="C39" s="1330"/>
      <c r="D39" s="1330"/>
      <c r="E39" s="1330"/>
      <c r="F39" s="1330"/>
      <c r="G39" s="1330"/>
      <c r="H39" s="1330"/>
      <c r="I39" s="1331"/>
      <c r="J39" s="883"/>
      <c r="K39" s="883"/>
      <c r="L39" s="883"/>
      <c r="M39" s="883"/>
      <c r="N39" s="883"/>
      <c r="O39" s="883"/>
    </row>
    <row r="40" spans="1:15" ht="20.100000000000001" customHeight="1" x14ac:dyDescent="0.25">
      <c r="A40" s="1313" t="s">
        <v>8</v>
      </c>
      <c r="B40" s="1314"/>
      <c r="C40" s="1314"/>
      <c r="D40" s="1314"/>
      <c r="E40" s="1314"/>
      <c r="F40" s="1314"/>
      <c r="G40" s="1314"/>
      <c r="H40" s="1314"/>
      <c r="I40" s="1315"/>
    </row>
    <row r="41" spans="1:15" ht="20.100000000000001" customHeight="1" x14ac:dyDescent="0.25">
      <c r="A41" s="229" t="s">
        <v>362</v>
      </c>
      <c r="B41" s="228" t="s">
        <v>58</v>
      </c>
      <c r="C41" s="183">
        <v>840</v>
      </c>
      <c r="D41" s="183">
        <v>1308</v>
      </c>
      <c r="E41" s="183">
        <v>0.2</v>
      </c>
      <c r="F41" s="189" t="s">
        <v>1000</v>
      </c>
      <c r="G41" s="229" t="s">
        <v>59</v>
      </c>
      <c r="H41" s="210">
        <f>ROUND((I41*1000000/3600/C41),4)</f>
        <v>0.86509999999999998</v>
      </c>
      <c r="I41" s="183">
        <f>ROUND((D41*E41/100),4)</f>
        <v>2.6160000000000001</v>
      </c>
    </row>
    <row r="42" spans="1:15" ht="20.100000000000001" customHeight="1" x14ac:dyDescent="0.25">
      <c r="A42" s="1313" t="s">
        <v>302</v>
      </c>
      <c r="B42" s="1314"/>
      <c r="C42" s="1314"/>
      <c r="D42" s="1314"/>
      <c r="E42" s="1314"/>
      <c r="F42" s="1314"/>
      <c r="G42" s="1314"/>
      <c r="H42" s="1314"/>
      <c r="I42" s="1315"/>
    </row>
    <row r="43" spans="1:15" ht="20.100000000000001" customHeight="1" x14ac:dyDescent="0.25">
      <c r="A43" s="229" t="s">
        <v>518</v>
      </c>
      <c r="B43" s="228" t="s">
        <v>58</v>
      </c>
      <c r="C43" s="183">
        <v>840</v>
      </c>
      <c r="D43" s="183">
        <v>361</v>
      </c>
      <c r="E43" s="183">
        <v>0.2</v>
      </c>
      <c r="F43" s="189" t="s">
        <v>1000</v>
      </c>
      <c r="G43" s="229" t="s">
        <v>59</v>
      </c>
      <c r="H43" s="210">
        <f>ROUND((I43*1000000/3600/C43),4)</f>
        <v>0.23880000000000001</v>
      </c>
      <c r="I43" s="183">
        <f>ROUND((D43*E43/100),4)</f>
        <v>0.72199999999999998</v>
      </c>
      <c r="J43" s="872">
        <f>H41+H43</f>
        <v>1.1038999999999999</v>
      </c>
      <c r="K43" s="871">
        <f>I41+I43</f>
        <v>3.3380000000000001</v>
      </c>
      <c r="L43" s="869">
        <v>2029</v>
      </c>
    </row>
    <row r="46" spans="1:15" ht="18.75" x14ac:dyDescent="0.25">
      <c r="A46" s="196"/>
    </row>
    <row r="47" spans="1:15" ht="18.75" x14ac:dyDescent="0.25">
      <c r="A47" s="188"/>
    </row>
    <row r="48" spans="1:15" ht="15.75" x14ac:dyDescent="0.25">
      <c r="A48" s="197"/>
    </row>
    <row r="49" spans="1:1" x14ac:dyDescent="0.25">
      <c r="A49" s="153"/>
    </row>
    <row r="50" spans="1:1" ht="18.75" x14ac:dyDescent="0.25">
      <c r="A50" s="112"/>
    </row>
    <row r="51" spans="1:1" ht="18.75" x14ac:dyDescent="0.25">
      <c r="A51" s="112"/>
    </row>
    <row r="52" spans="1:1" ht="18.75" x14ac:dyDescent="0.25">
      <c r="A52" s="114"/>
    </row>
    <row r="53" spans="1:1" ht="18.75" x14ac:dyDescent="0.25">
      <c r="A53" s="114"/>
    </row>
  </sheetData>
  <mergeCells count="32">
    <mergeCell ref="A18:O18"/>
    <mergeCell ref="A42:I42"/>
    <mergeCell ref="A26:I26"/>
    <mergeCell ref="A27:I27"/>
    <mergeCell ref="A32:I32"/>
    <mergeCell ref="A29:I29"/>
    <mergeCell ref="A40:I40"/>
    <mergeCell ref="A39:I39"/>
    <mergeCell ref="A35:I35"/>
    <mergeCell ref="A34:I34"/>
    <mergeCell ref="A31:I31"/>
    <mergeCell ref="A1:I1"/>
    <mergeCell ref="A3:O3"/>
    <mergeCell ref="A4:I4"/>
    <mergeCell ref="A6:I6"/>
    <mergeCell ref="A37:I37"/>
    <mergeCell ref="F21:F23"/>
    <mergeCell ref="G21:G23"/>
    <mergeCell ref="H21:I22"/>
    <mergeCell ref="A21:A23"/>
    <mergeCell ref="B21:B23"/>
    <mergeCell ref="C21:C23"/>
    <mergeCell ref="D21:D23"/>
    <mergeCell ref="E21:E23"/>
    <mergeCell ref="A25:I25"/>
    <mergeCell ref="A15:I15"/>
    <mergeCell ref="A16:I16"/>
    <mergeCell ref="A8:I8"/>
    <mergeCell ref="A10:I10"/>
    <mergeCell ref="A12:I12"/>
    <mergeCell ref="A13:O13"/>
    <mergeCell ref="A14:I14"/>
  </mergeCells>
  <pageMargins left="0.31496062992125984" right="0.31496062992125984" top="0.78740157480314965" bottom="0.39370078740157483" header="0.31496062992125984" footer="0.19685039370078741"/>
  <pageSetup paperSize="9" firstPageNumber="58" orientation="landscape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37</vt:i4>
      </vt:variant>
    </vt:vector>
  </HeadingPairs>
  <TitlesOfParts>
    <vt:vector size="58" baseType="lpstr">
      <vt:lpstr>титул</vt:lpstr>
      <vt:lpstr>введение</vt:lpstr>
      <vt:lpstr>содержание</vt:lpstr>
      <vt:lpstr>1.1 снятие ТГ бульдозер</vt:lpstr>
      <vt:lpstr>1.2погрузка экскаватором</vt:lpstr>
      <vt:lpstr>1.3земляные работы</vt:lpstr>
      <vt:lpstr>1.4 транспортирование</vt:lpstr>
      <vt:lpstr>1.5пересыпка материалов</vt:lpstr>
      <vt:lpstr>1.6укладка асфальтобетона</vt:lpstr>
      <vt:lpstr>1.7покраска</vt:lpstr>
      <vt:lpstr>1.8 сварка</vt:lpstr>
      <vt:lpstr>1.8.1сварка доп</vt:lpstr>
      <vt:lpstr>1.9сварка полиэтилена</vt:lpstr>
      <vt:lpstr>1.10 ДЭС и буровые установки</vt:lpstr>
      <vt:lpstr>1.11бурение</vt:lpstr>
      <vt:lpstr>1.12.1склад техног грунта</vt:lpstr>
      <vt:lpstr>1.12.2склады щебня и суглинка</vt:lpstr>
      <vt:lpstr>1.13топливозаправщик</vt:lpstr>
      <vt:lpstr>1.14битумные работы</vt:lpstr>
      <vt:lpstr>1.15автотранспорт</vt:lpstr>
      <vt:lpstr>Итого от Комбината</vt:lpstr>
      <vt:lpstr>'1.1 снятие ТГ бульдозер'!Заголовки_для_печати</vt:lpstr>
      <vt:lpstr>'1.10 ДЭС и буровые установки'!Заголовки_для_печати</vt:lpstr>
      <vt:lpstr>'1.11бурение'!Заголовки_для_печати</vt:lpstr>
      <vt:lpstr>'1.12.1склад техног грунта'!Заголовки_для_печати</vt:lpstr>
      <vt:lpstr>'1.12.2склады щебня и суглинка'!Заголовки_для_печати</vt:lpstr>
      <vt:lpstr>'1.13топливозаправщик'!Заголовки_для_печати</vt:lpstr>
      <vt:lpstr>'1.15автотранспорт'!Заголовки_для_печати</vt:lpstr>
      <vt:lpstr>'1.2погрузка экскаватором'!Заголовки_для_печати</vt:lpstr>
      <vt:lpstr>'1.3земляные работы'!Заголовки_для_печати</vt:lpstr>
      <vt:lpstr>'1.4 транспортирование'!Заголовки_для_печати</vt:lpstr>
      <vt:lpstr>'1.5пересыпка материалов'!Заголовки_для_печати</vt:lpstr>
      <vt:lpstr>'1.6укладка асфальтобетона'!Заголовки_для_печати</vt:lpstr>
      <vt:lpstr>'1.7покраска'!Заголовки_для_печати</vt:lpstr>
      <vt:lpstr>'1.8 сварка'!Заголовки_для_печати</vt:lpstr>
      <vt:lpstr>'1.8.1сварка доп'!Заголовки_для_печати</vt:lpstr>
      <vt:lpstr>'1.9сварка полиэтилена'!Заголовки_для_печати</vt:lpstr>
      <vt:lpstr>'Итого от Комбината'!Заголовки_для_печати</vt:lpstr>
      <vt:lpstr>'1.1 снятие ТГ бульдозер'!Область_печати</vt:lpstr>
      <vt:lpstr>'1.10 ДЭС и буровые установки'!Область_печати</vt:lpstr>
      <vt:lpstr>'1.11бурение'!Область_печати</vt:lpstr>
      <vt:lpstr>'1.12.1склад техног грунта'!Область_печати</vt:lpstr>
      <vt:lpstr>'1.12.2склады щебня и суглинка'!Область_печати</vt:lpstr>
      <vt:lpstr>'1.13топливозаправщик'!Область_печати</vt:lpstr>
      <vt:lpstr>'1.14битумные работы'!Область_печати</vt:lpstr>
      <vt:lpstr>'1.15автотранспорт'!Область_печати</vt:lpstr>
      <vt:lpstr>'1.2погрузка экскаватором'!Область_печати</vt:lpstr>
      <vt:lpstr>'1.3земляные работы'!Область_печати</vt:lpstr>
      <vt:lpstr>'1.4 транспортирование'!Область_печати</vt:lpstr>
      <vt:lpstr>'1.5пересыпка материалов'!Область_печати</vt:lpstr>
      <vt:lpstr>'1.6укладка асфальтобетона'!Область_печати</vt:lpstr>
      <vt:lpstr>'1.7покраска'!Область_печати</vt:lpstr>
      <vt:lpstr>'1.8 сварка'!Область_печати</vt:lpstr>
      <vt:lpstr>'1.8.1сварка доп'!Область_печати</vt:lpstr>
      <vt:lpstr>'1.9сварка полиэтилена'!Область_печати</vt:lpstr>
      <vt:lpstr>введение!Область_печати</vt:lpstr>
      <vt:lpstr>'Итого от Комбината'!Область_печати</vt:lpstr>
      <vt:lpstr>содержание!Область_печати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cp:lastPrinted>2025-09-29T06:42:14Z</cp:lastPrinted>
  <dcterms:created xsi:type="dcterms:W3CDTF">2025-04-10T09:39:56Z</dcterms:created>
  <dcterms:modified xsi:type="dcterms:W3CDTF">2025-10-31T04:13:10Z</dcterms:modified>
</cp:coreProperties>
</file>